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ตารางคำนวณ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T43" i="1"/>
  <c r="V43" s="1"/>
  <c r="T41"/>
  <c r="G15"/>
  <c r="G12"/>
  <c r="G11"/>
  <c r="G8"/>
  <c r="G77"/>
  <c r="H77" s="1"/>
  <c r="G65"/>
  <c r="G52"/>
  <c r="G51"/>
  <c r="H47"/>
  <c r="G46"/>
  <c r="G20"/>
  <c r="G19"/>
  <c r="H18"/>
  <c r="G56"/>
  <c r="H56" s="1"/>
  <c r="Q69"/>
  <c r="R69" s="1"/>
  <c r="T69"/>
  <c r="Q70"/>
  <c r="G69"/>
  <c r="G37"/>
  <c r="H66"/>
  <c r="G23"/>
  <c r="G21"/>
  <c r="H19"/>
  <c r="H20"/>
  <c r="G53"/>
  <c r="H65"/>
  <c r="L88"/>
  <c r="L89" s="1"/>
  <c r="X49"/>
  <c r="G82"/>
  <c r="H82" s="1"/>
  <c r="V77"/>
  <c r="T77"/>
  <c r="R77"/>
  <c r="R66"/>
  <c r="T15"/>
  <c r="T71"/>
  <c r="V71" s="1"/>
  <c r="T70"/>
  <c r="V70" s="1"/>
  <c r="V69"/>
  <c r="G68"/>
  <c r="V68"/>
  <c r="U68"/>
  <c r="S68"/>
  <c r="T53"/>
  <c r="V53" s="1"/>
  <c r="T52"/>
  <c r="V52" s="1"/>
  <c r="U51"/>
  <c r="V51" s="1"/>
  <c r="S51"/>
  <c r="G42"/>
  <c r="T42"/>
  <c r="V42" s="1"/>
  <c r="V41"/>
  <c r="G41"/>
  <c r="V40"/>
  <c r="G40"/>
  <c r="G39"/>
  <c r="H39" s="1"/>
  <c r="G14"/>
  <c r="G13"/>
  <c r="H13" s="1"/>
  <c r="G9"/>
  <c r="V8"/>
  <c r="G71"/>
  <c r="G70"/>
  <c r="H68"/>
  <c r="Y68" s="1"/>
  <c r="H43"/>
  <c r="H8"/>
  <c r="R65"/>
  <c r="V66"/>
  <c r="T66"/>
  <c r="R47"/>
  <c r="V47"/>
  <c r="W66"/>
  <c r="R46"/>
  <c r="E83"/>
  <c r="R39"/>
  <c r="R40"/>
  <c r="Q13"/>
  <c r="R13" s="1"/>
  <c r="V65"/>
  <c r="T65"/>
  <c r="V56"/>
  <c r="T56"/>
  <c r="R56"/>
  <c r="T47"/>
  <c r="V46"/>
  <c r="T46"/>
  <c r="H46"/>
  <c r="R23"/>
  <c r="R21"/>
  <c r="V23"/>
  <c r="T23"/>
  <c r="V21"/>
  <c r="T21"/>
  <c r="V20"/>
  <c r="T20"/>
  <c r="R20"/>
  <c r="V19"/>
  <c r="T19"/>
  <c r="R19"/>
  <c r="H37"/>
  <c r="X37" s="1"/>
  <c r="H23"/>
  <c r="H21"/>
  <c r="X69" l="1"/>
  <c r="W69"/>
  <c r="Y69"/>
  <c r="X77"/>
  <c r="W77"/>
  <c r="V15"/>
  <c r="W19"/>
  <c r="W20"/>
  <c r="W68"/>
  <c r="Y77"/>
  <c r="W49"/>
  <c r="Y49"/>
  <c r="X82"/>
  <c r="Y82"/>
  <c r="W82"/>
  <c r="X68"/>
  <c r="W23"/>
  <c r="X66"/>
  <c r="Y66"/>
  <c r="W21"/>
  <c r="X39"/>
  <c r="Y39"/>
  <c r="W39"/>
  <c r="X21"/>
  <c r="X23"/>
  <c r="W37"/>
  <c r="Y37"/>
  <c r="Y21"/>
  <c r="Y23"/>
  <c r="X65"/>
  <c r="Y65"/>
  <c r="W65"/>
  <c r="V18"/>
  <c r="T18"/>
  <c r="T83" s="1"/>
  <c r="R18"/>
  <c r="W18" s="1"/>
  <c r="Q8"/>
  <c r="R8" s="1"/>
  <c r="Y8" s="1"/>
  <c r="H40"/>
  <c r="T89"/>
  <c r="V89" s="1"/>
  <c r="F83"/>
  <c r="Q53"/>
  <c r="R53" s="1"/>
  <c r="Q52"/>
  <c r="R52" s="1"/>
  <c r="O46"/>
  <c r="P46" s="1"/>
  <c r="P83" s="1"/>
  <c r="U69"/>
  <c r="Q51"/>
  <c r="R51" s="1"/>
  <c r="W51" s="1"/>
  <c r="Q71"/>
  <c r="R71" s="1"/>
  <c r="X71" s="1"/>
  <c r="R70"/>
  <c r="X70" s="1"/>
  <c r="Q43"/>
  <c r="R43" s="1"/>
  <c r="Y43" s="1"/>
  <c r="Q42"/>
  <c r="R42" s="1"/>
  <c r="X42" s="1"/>
  <c r="Q41"/>
  <c r="R41" s="1"/>
  <c r="X41" s="1"/>
  <c r="Q15"/>
  <c r="R15" s="1"/>
  <c r="H12"/>
  <c r="Q11"/>
  <c r="R11" s="1"/>
  <c r="H11"/>
  <c r="Q9"/>
  <c r="R9" s="1"/>
  <c r="H9"/>
  <c r="Q14"/>
  <c r="R14" s="1"/>
  <c r="Q12"/>
  <c r="R12" s="1"/>
  <c r="H14"/>
  <c r="W14" s="1"/>
  <c r="V83" l="1"/>
  <c r="X9"/>
  <c r="Y9"/>
  <c r="W9"/>
  <c r="Y15"/>
  <c r="X15"/>
  <c r="R83"/>
  <c r="H83"/>
  <c r="X43"/>
  <c r="X8"/>
  <c r="W8"/>
  <c r="Y47"/>
  <c r="W47"/>
  <c r="X47"/>
  <c r="Y40"/>
  <c r="W12"/>
  <c r="Y13"/>
  <c r="X11"/>
  <c r="Y42"/>
  <c r="Y70"/>
  <c r="W71"/>
  <c r="Y46"/>
  <c r="Y18"/>
  <c r="Y19"/>
  <c r="Y52"/>
  <c r="Y56"/>
  <c r="Y51"/>
  <c r="X12"/>
  <c r="Y11"/>
  <c r="Y12"/>
  <c r="W70"/>
  <c r="Y71"/>
  <c r="T90"/>
  <c r="V90" s="1"/>
  <c r="W43"/>
  <c r="X56"/>
  <c r="X52"/>
  <c r="X20"/>
  <c r="X18"/>
  <c r="X14"/>
  <c r="Y41"/>
  <c r="Y20"/>
  <c r="Y14"/>
  <c r="G83"/>
  <c r="U83"/>
  <c r="S83"/>
  <c r="Q83"/>
  <c r="O83"/>
  <c r="W41"/>
  <c r="W53"/>
  <c r="W11"/>
  <c r="W46"/>
  <c r="W42"/>
  <c r="W40"/>
  <c r="W15"/>
  <c r="W13"/>
  <c r="W52"/>
  <c r="W56"/>
  <c r="X53"/>
  <c r="X51"/>
  <c r="X46"/>
  <c r="X40"/>
  <c r="X19"/>
  <c r="X13"/>
  <c r="Y53"/>
  <c r="Y83" l="1"/>
  <c r="Y84" s="1"/>
  <c r="X83"/>
  <c r="W83"/>
  <c r="X84" l="1"/>
  <c r="X85" s="1"/>
  <c r="X86" s="1"/>
  <c r="Y85"/>
  <c r="Y86" s="1"/>
  <c r="W84"/>
  <c r="W85" s="1"/>
  <c r="W86" s="1"/>
</calcChain>
</file>

<file path=xl/comments1.xml><?xml version="1.0" encoding="utf-8"?>
<comments xmlns="http://schemas.openxmlformats.org/spreadsheetml/2006/main">
  <authors>
    <author>KKD Windows 7 V.3</author>
  </authors>
  <commentList>
    <comment ref="G15" authorId="0">
      <text>
        <r>
          <rPr>
            <b/>
            <sz val="9"/>
            <color indexed="81"/>
            <rFont val="Tahoma"/>
            <charset val="222"/>
          </rPr>
          <t>KKD Windows 7 V.3:</t>
        </r>
        <r>
          <rPr>
            <sz val="9"/>
            <color indexed="81"/>
            <rFont val="Tahoma"/>
            <charset val="222"/>
          </rPr>
          <t xml:space="preserve">
5810+14180x6หาร2
8290+25020x6หาร 2</t>
        </r>
      </text>
    </comment>
    <comment ref="S15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ผลต่าง</t>
        </r>
      </text>
    </comment>
    <comment ref="G41" authorId="0">
      <text>
        <r>
          <rPr>
            <b/>
            <sz val="9"/>
            <color indexed="81"/>
            <rFont val="Tahoma"/>
            <charset val="222"/>
          </rPr>
          <t>KKD Windows 7 V.3:</t>
        </r>
        <r>
          <rPr>
            <sz val="9"/>
            <color indexed="81"/>
            <rFont val="Tahoma"/>
            <charset val="222"/>
          </rPr>
          <t xml:space="preserve">
5810+14180x6หาร2
8290+25020x6หาร 2</t>
        </r>
      </text>
    </comment>
    <comment ref="S41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ผลต่าง</t>
        </r>
      </text>
    </comment>
    <comment ref="G42" authorId="0">
      <text>
        <r>
          <rPr>
            <b/>
            <sz val="9"/>
            <color indexed="81"/>
            <rFont val="Tahoma"/>
            <charset val="222"/>
          </rPr>
          <t>KKD Windows 7 V.3:</t>
        </r>
        <r>
          <rPr>
            <sz val="9"/>
            <color indexed="81"/>
            <rFont val="Tahoma"/>
            <charset val="222"/>
          </rPr>
          <t xml:space="preserve">
5810+14180x6หาร2
8290+25020x6หาร 2</t>
        </r>
      </text>
    </comment>
    <comment ref="S4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ผลต่าง</t>
        </r>
      </text>
    </comment>
    <comment ref="G43" authorId="0">
      <text>
        <r>
          <rPr>
            <b/>
            <sz val="9"/>
            <color indexed="81"/>
            <rFont val="Tahoma"/>
            <charset val="222"/>
          </rPr>
          <t>KKD Windows 7 V.3:</t>
        </r>
        <r>
          <rPr>
            <sz val="9"/>
            <color indexed="81"/>
            <rFont val="Tahoma"/>
            <charset val="222"/>
          </rPr>
          <t xml:space="preserve">
5810+14180x6หาร2
8290+25020x6หาร 2</t>
        </r>
      </text>
    </comment>
    <comment ref="S43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ผลต่าง</t>
        </r>
      </text>
    </comment>
    <comment ref="G52" authorId="0">
      <text>
        <r>
          <rPr>
            <b/>
            <sz val="9"/>
            <color indexed="81"/>
            <rFont val="Tahoma"/>
            <charset val="222"/>
          </rPr>
          <t>KKD Windows 7 V.3:</t>
        </r>
        <r>
          <rPr>
            <sz val="9"/>
            <color indexed="81"/>
            <rFont val="Tahoma"/>
            <charset val="222"/>
          </rPr>
          <t xml:space="preserve">
5810+14180x6หาร2
8290+25020x6หาร 2</t>
        </r>
      </text>
    </comment>
    <comment ref="S52" authorId="0">
      <text>
        <r>
          <rPr>
            <b/>
            <sz val="9"/>
            <color indexed="81"/>
            <rFont val="Tahoma"/>
            <family val="2"/>
          </rPr>
          <t>KKD Windows 7 V.3:</t>
        </r>
        <r>
          <rPr>
            <sz val="9"/>
            <color indexed="81"/>
            <rFont val="Tahoma"/>
            <family val="2"/>
          </rPr>
          <t xml:space="preserve">
ผลต่าง</t>
        </r>
      </text>
    </comment>
    <comment ref="G53" authorId="0">
      <text>
        <r>
          <rPr>
            <b/>
            <sz val="9"/>
            <color indexed="81"/>
            <rFont val="Tahoma"/>
            <charset val="222"/>
          </rPr>
          <t>KKD Windows 7 V.3:</t>
        </r>
        <r>
          <rPr>
            <sz val="9"/>
            <color indexed="81"/>
            <rFont val="Tahoma"/>
            <charset val="222"/>
          </rPr>
          <t xml:space="preserve">
5810+14180x6หาร2
8290+25020x6หาร 2</t>
        </r>
      </text>
    </comment>
    <comment ref="G70" authorId="0">
      <text>
        <r>
          <rPr>
            <b/>
            <sz val="9"/>
            <color indexed="81"/>
            <rFont val="Tahoma"/>
            <charset val="222"/>
          </rPr>
          <t>KKD Windows 7 V.3:</t>
        </r>
        <r>
          <rPr>
            <sz val="9"/>
            <color indexed="81"/>
            <rFont val="Tahoma"/>
            <charset val="222"/>
          </rPr>
          <t xml:space="preserve">
5810+14180x6หาร2
8290+25020x6หาร 2</t>
        </r>
      </text>
    </comment>
    <comment ref="G71" authorId="0">
      <text>
        <r>
          <rPr>
            <b/>
            <sz val="9"/>
            <color indexed="81"/>
            <rFont val="Tahoma"/>
            <charset val="222"/>
          </rPr>
          <t>KKD Windows 7 V.3:</t>
        </r>
        <r>
          <rPr>
            <sz val="9"/>
            <color indexed="81"/>
            <rFont val="Tahoma"/>
            <charset val="222"/>
          </rPr>
          <t xml:space="preserve">
5810+14180x6หาร2
8290+25020x6หาร 2</t>
        </r>
      </text>
    </comment>
  </commentList>
</comments>
</file>

<file path=xl/sharedStrings.xml><?xml version="1.0" encoding="utf-8"?>
<sst xmlns="http://schemas.openxmlformats.org/spreadsheetml/2006/main" count="470" uniqueCount="129">
  <si>
    <t>ชื่อสายงาน</t>
  </si>
  <si>
    <t>ระดับตำแหน่ง</t>
  </si>
  <si>
    <t>จำนวนทั้งหมด</t>
  </si>
  <si>
    <t>จำนวนที่มีอยู่ปัจจุบัน</t>
  </si>
  <si>
    <t>อัตราตำแหน่งที่คาดว่าจะต้องใช้ในช่วงระยะเวลา 3 ปีข้างหน้า</t>
  </si>
  <si>
    <t>อัตรากำลังคน</t>
  </si>
  <si>
    <t>เพิ่ม/ลด</t>
  </si>
  <si>
    <t xml:space="preserve">ภาระค่าใช้จ่าย                        </t>
  </si>
  <si>
    <t>ที่เพิ่มขึ้น (2)</t>
  </si>
  <si>
    <t>ค่าใช้จ่ายรวม (3)</t>
  </si>
  <si>
    <t>หมายเหตุ</t>
  </si>
  <si>
    <t>จำนวน</t>
  </si>
  <si>
    <t>(คน)</t>
  </si>
  <si>
    <t>-</t>
  </si>
  <si>
    <t>รวม</t>
  </si>
  <si>
    <t>ประมาณการประโยชน์ตอบแทนอื่น 20 %</t>
  </si>
  <si>
    <t>รวมเป็นค่าใช้จ่ายบุคคลทั้งสิ้น</t>
  </si>
  <si>
    <t>คิดร้อยละ 40 งบประมาณรายจ่ายประจำปี</t>
  </si>
  <si>
    <t>สำนักงานปลัด</t>
  </si>
  <si>
    <t xml:space="preserve"> </t>
  </si>
  <si>
    <t xml:space="preserve"> นักพัฒนาชุมชน  </t>
  </si>
  <si>
    <t xml:space="preserve"> เจ้าพนักงานธุรการ </t>
  </si>
  <si>
    <t>เงินเดือน</t>
  </si>
  <si>
    <t xml:space="preserve">  1 ขั้น</t>
  </si>
  <si>
    <t>พนักงานจ้างภารกิจ</t>
  </si>
  <si>
    <t>ประเภทผู้มีคุณวุฒิ</t>
  </si>
  <si>
    <t>ประเภทผู้มีทักษะ</t>
  </si>
  <si>
    <t>พนักงานจ้างทั่วไป</t>
  </si>
  <si>
    <t>นักการภารโรง</t>
  </si>
  <si>
    <t>พนักงานจ้างตามภารกิจ</t>
  </si>
  <si>
    <t>กองช่าง</t>
  </si>
  <si>
    <t>(6140-5810)+(27350-26500)</t>
  </si>
  <si>
    <t>(5100-4870)+(22760-22050)</t>
  </si>
  <si>
    <t>11560+470+490*4%</t>
  </si>
  <si>
    <t>9000+3660*4%*12</t>
  </si>
  <si>
    <t>12660+510*4%</t>
  </si>
  <si>
    <t>12660+510+530*4%</t>
  </si>
  <si>
    <t>1080+15540+670+700*4%*12</t>
  </si>
  <si>
    <t>14010+560+590*4%=610</t>
  </si>
  <si>
    <t xml:space="preserve">  </t>
  </si>
  <si>
    <t>ครูผู้ดูแลเด็ก</t>
  </si>
  <si>
    <t>(4)</t>
  </si>
  <si>
    <t>(5)</t>
  </si>
  <si>
    <t>(6)</t>
  </si>
  <si>
    <t>(7)</t>
  </si>
  <si>
    <t>เงินเดือน(1)</t>
  </si>
  <si>
    <t>ผู้ช่วยเจ้าหน้าที่วิเคราะห์นโยบายและแผน</t>
  </si>
  <si>
    <t>ผู้ช่วยเจ้าหน้าที่ธุรการ</t>
  </si>
  <si>
    <t>พนักงานขับรถยนต์</t>
  </si>
  <si>
    <t xml:space="preserve">นักวิชาการเงินและบัญชี </t>
  </si>
  <si>
    <t>ผู้ช่วยเจ้าหน้าที่จัดเก็บรายได้</t>
  </si>
  <si>
    <t>พนักงานสูบน้ำ</t>
  </si>
  <si>
    <t>ผู้ช่วยช่างไฟฟ้า</t>
  </si>
  <si>
    <t>ผู้ช่วยหัวหน้าศูนย์พัฒนาเด็กเล็ก</t>
  </si>
  <si>
    <t>ปฏิบัติหน้าที่ผู้ดูแลเด็ก</t>
  </si>
  <si>
    <t>กำหนดเพิ่ม</t>
  </si>
  <si>
    <t>บาท</t>
  </si>
  <si>
    <t>17880-18480*12=</t>
  </si>
  <si>
    <t>15540*4%=630</t>
  </si>
  <si>
    <t>15540+630*4%*12</t>
  </si>
  <si>
    <t>15540*12</t>
  </si>
  <si>
    <t>11760*4%=470</t>
  </si>
  <si>
    <t>11760+470*4%=490</t>
  </si>
  <si>
    <t>11230*4%=450</t>
  </si>
  <si>
    <t>11230+450*4%=470</t>
  </si>
  <si>
    <t>13150*4%=530</t>
  </si>
  <si>
    <t>13150+530*4%=550</t>
  </si>
  <si>
    <t>9400*4%=380</t>
  </si>
  <si>
    <t>พนักงานส่วนท้องถิ่น</t>
  </si>
  <si>
    <t>คศ.1</t>
  </si>
  <si>
    <t>+1</t>
  </si>
  <si>
    <t>22490-23370=</t>
  </si>
  <si>
    <t>ที่</t>
  </si>
  <si>
    <t xml:space="preserve">        9.  ภาระค่าใช้จ่ายเกี่ยวกับเงินเดือนและประโยชน์ตอบแทนอื่น</t>
  </si>
  <si>
    <t xml:space="preserve">กองคลัง </t>
  </si>
  <si>
    <t xml:space="preserve">ผู้ช่วยเจ้าหน้าที่ป้องกันและบรรเทาสาธารณภัย      </t>
  </si>
  <si>
    <t xml:space="preserve">ผู้ช่วยเจ้าหน้าที่พัสดุ </t>
  </si>
  <si>
    <t>ผู้ช่วยช่างโยธา</t>
  </si>
  <si>
    <t xml:space="preserve">นักวิชาการศึกษา  </t>
  </si>
  <si>
    <t>ว่างเดิม</t>
  </si>
  <si>
    <t xml:space="preserve"> เจ้าพนักงานป้องกันและบรรเทาสาธณภัย </t>
  </si>
  <si>
    <t xml:space="preserve">นายช่างโยธา  </t>
  </si>
  <si>
    <t xml:space="preserve">เจ้าพนักงานพัสดุ   </t>
  </si>
  <si>
    <t xml:space="preserve">เจ้าพนักงานจัดเก็บรายได้  </t>
  </si>
  <si>
    <t xml:space="preserve">เจ้าพนักงานการเงินและบัญชี </t>
  </si>
  <si>
    <t>กลาง</t>
  </si>
  <si>
    <t>ต้น</t>
  </si>
  <si>
    <t>นักจัดการงานทั่วไป</t>
  </si>
  <si>
    <t>ปฏิบัติการ</t>
  </si>
  <si>
    <t>ชำนาญงาน</t>
  </si>
  <si>
    <t>ปฏิบัติงาน</t>
  </si>
  <si>
    <t>นายช่างเขียนแบบ</t>
  </si>
  <si>
    <t>เจ้าพนักงานศูนย์เยาวชน</t>
  </si>
  <si>
    <t>เจ้าพนักงานธุรการ</t>
  </si>
  <si>
    <t>ผู้ช่วยเจ้าหน้าที่ศูนย์เยาวชน</t>
  </si>
  <si>
    <t>กองการศึกษา</t>
  </si>
  <si>
    <t>1260*12</t>
  </si>
  <si>
    <t>610+610 คูณ12=21840</t>
  </si>
  <si>
    <t>500+500*12</t>
  </si>
  <si>
    <t>1010*12</t>
  </si>
  <si>
    <t>470+460*12</t>
  </si>
  <si>
    <t>960*12</t>
  </si>
  <si>
    <t>350+370*12</t>
  </si>
  <si>
    <t>740*12</t>
  </si>
  <si>
    <t>360+350*12</t>
  </si>
  <si>
    <t>390+420*12</t>
  </si>
  <si>
    <t>840*12</t>
  </si>
  <si>
    <t>(6140-5810)+(13770-14180)  , 8290-8610+24270-25020</t>
  </si>
  <si>
    <t>500+550* 12</t>
  </si>
  <si>
    <t>360+380* 12</t>
  </si>
  <si>
    <t>720*12</t>
  </si>
  <si>
    <t>(5810-14180)*6/2+(8290+25020*6/2)  =</t>
  </si>
  <si>
    <t>8610-8290+39630-40900/2*12</t>
  </si>
  <si>
    <t>390+630*6/2+410+890*6/2</t>
  </si>
  <si>
    <t>อุดหนุนเฉพาะกิจ</t>
  </si>
  <si>
    <t xml:space="preserve">ว่าง </t>
  </si>
  <si>
    <t>ผู้ช่วยเจ้าหน้าที่บันทึกข้อมูล</t>
  </si>
  <si>
    <t xml:space="preserve">        -</t>
  </si>
  <si>
    <t xml:space="preserve">      -</t>
  </si>
  <si>
    <t xml:space="preserve">     -</t>
  </si>
  <si>
    <t xml:space="preserve">หมายเหตุ    งบประมาณการรายจ่ายประจำปี  2558  </t>
  </si>
  <si>
    <t xml:space="preserve">                งบประมาณการรายจ่ายประจำปี  2559</t>
  </si>
  <si>
    <t xml:space="preserve">                งบประมาณการรายจ่ายประจำปี  2560</t>
  </si>
  <si>
    <t>ปลัดองค์การบริหารส่วนตำบล (นักบริหารงานท้องถิ่น)</t>
  </si>
  <si>
    <t xml:space="preserve">หัวหน้าสำนักปลัด  (นักบริหารงานทั่วไป  )  </t>
  </si>
  <si>
    <t>ผู้อำนวยการกองคลัง (นักบริหารงานคลัง)</t>
  </si>
  <si>
    <t>ผู้อำนวยการกองช่าง  (นักบริหารงานช่าง)</t>
  </si>
  <si>
    <t>รองปลัดองค์การบริหารส่วนตำบล(นักบริหารงานท้องถิ่น)</t>
  </si>
  <si>
    <t>ผู้อำนวยการกองการศึกษา (นักบริหารงานศึกษา)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</si>
</sst>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_ ;\-#,##0\ "/>
  </numFmts>
  <fonts count="1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b/>
      <sz val="14"/>
      <color theme="0"/>
      <name val="TH SarabunPSK"/>
      <family val="2"/>
    </font>
    <font>
      <b/>
      <u/>
      <sz val="15"/>
      <color theme="1"/>
      <name val="TH SarabunPSK"/>
      <family val="2"/>
    </font>
    <font>
      <b/>
      <sz val="18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9"/>
      <color indexed="81"/>
      <name val="Tahoma"/>
      <charset val="222"/>
    </font>
    <font>
      <b/>
      <sz val="9"/>
      <color indexed="81"/>
      <name val="Tahoma"/>
      <charset val="222"/>
    </font>
    <font>
      <b/>
      <sz val="10"/>
      <color theme="1"/>
      <name val="TH SarabunPSK"/>
      <family val="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0">
    <xf numFmtId="0" fontId="0" fillId="0" borderId="0" xfId="0"/>
    <xf numFmtId="0" fontId="5" fillId="0" borderId="0" xfId="0" applyFont="1" applyBorder="1" applyAlignment="1"/>
    <xf numFmtId="187" fontId="5" fillId="0" borderId="0" xfId="1" applyNumberFormat="1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/>
    <xf numFmtId="187" fontId="6" fillId="0" borderId="0" xfId="1" applyNumberFormat="1" applyFont="1"/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5" fillId="2" borderId="0" xfId="0" applyFont="1" applyFill="1" applyBorder="1" applyAlignment="1">
      <alignment horizontal="center" vertical="top" wrapText="1"/>
    </xf>
    <xf numFmtId="187" fontId="6" fillId="0" borderId="0" xfId="1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3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/>
    <xf numFmtId="0" fontId="5" fillId="3" borderId="0" xfId="0" applyFont="1" applyFill="1" applyBorder="1" applyAlignment="1"/>
    <xf numFmtId="49" fontId="5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center" vertical="top" wrapText="1"/>
    </xf>
    <xf numFmtId="187" fontId="5" fillId="0" borderId="4" xfId="1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justify" vertical="top" wrapText="1"/>
    </xf>
    <xf numFmtId="0" fontId="5" fillId="2" borderId="7" xfId="0" applyFont="1" applyFill="1" applyBorder="1" applyAlignment="1">
      <alignment horizontal="justify" vertical="top" wrapText="1"/>
    </xf>
    <xf numFmtId="187" fontId="6" fillId="0" borderId="7" xfId="1" applyNumberFormat="1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188" fontId="5" fillId="0" borderId="7" xfId="0" applyNumberFormat="1" applyFont="1" applyBorder="1" applyAlignment="1">
      <alignment horizontal="center" vertical="top" wrapText="1"/>
    </xf>
    <xf numFmtId="187" fontId="8" fillId="3" borderId="0" xfId="0" applyNumberFormat="1" applyFont="1" applyFill="1"/>
    <xf numFmtId="43" fontId="8" fillId="3" borderId="0" xfId="0" applyNumberFormat="1" applyFont="1" applyFill="1"/>
    <xf numFmtId="0" fontId="5" fillId="0" borderId="0" xfId="0" applyFont="1" applyAlignment="1"/>
    <xf numFmtId="187" fontId="5" fillId="2" borderId="0" xfId="1" applyNumberFormat="1" applyFont="1" applyFill="1" applyBorder="1" applyAlignment="1">
      <alignment horizontal="center" vertical="top" wrapText="1"/>
    </xf>
    <xf numFmtId="187" fontId="5" fillId="2" borderId="9" xfId="1" applyNumberFormat="1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wrapText="1"/>
    </xf>
    <xf numFmtId="0" fontId="11" fillId="0" borderId="0" xfId="0" applyFont="1" applyAlignment="1"/>
    <xf numFmtId="0" fontId="11" fillId="2" borderId="0" xfId="0" applyFont="1" applyFill="1" applyBorder="1" applyAlignment="1">
      <alignment wrapText="1"/>
    </xf>
    <xf numFmtId="0" fontId="11" fillId="2" borderId="9" xfId="0" applyFont="1" applyFill="1" applyBorder="1" applyAlignment="1">
      <alignment wrapText="1"/>
    </xf>
    <xf numFmtId="0" fontId="11" fillId="0" borderId="6" xfId="0" applyFont="1" applyBorder="1" applyAlignment="1">
      <alignment horizontal="center" vertical="top" wrapText="1"/>
    </xf>
    <xf numFmtId="0" fontId="11" fillId="2" borderId="6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top" wrapText="1"/>
    </xf>
    <xf numFmtId="0" fontId="11" fillId="2" borderId="7" xfId="0" applyFont="1" applyFill="1" applyBorder="1" applyAlignment="1">
      <alignment vertical="top" wrapText="1"/>
    </xf>
    <xf numFmtId="0" fontId="11" fillId="2" borderId="3" xfId="0" applyFont="1" applyFill="1" applyBorder="1" applyAlignment="1">
      <alignment horizontal="center" vertical="center" wrapText="1"/>
    </xf>
    <xf numFmtId="187" fontId="5" fillId="0" borderId="0" xfId="1" applyNumberFormat="1" applyFont="1" applyBorder="1" applyAlignment="1">
      <alignment horizontal="center" vertical="top" wrapText="1"/>
    </xf>
    <xf numFmtId="187" fontId="5" fillId="0" borderId="0" xfId="1" applyNumberFormat="1" applyFont="1" applyBorder="1" applyAlignment="1">
      <alignment horizontal="left" vertical="top" wrapText="1"/>
    </xf>
    <xf numFmtId="187" fontId="6" fillId="0" borderId="0" xfId="1" applyNumberFormat="1" applyFont="1" applyBorder="1" applyAlignment="1">
      <alignment horizontal="center" vertical="top" wrapText="1"/>
    </xf>
    <xf numFmtId="187" fontId="5" fillId="0" borderId="0" xfId="1" applyNumberFormat="1" applyFont="1" applyBorder="1" applyAlignment="1">
      <alignment horizontal="right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187" fontId="5" fillId="0" borderId="9" xfId="1" applyNumberFormat="1" applyFont="1" applyBorder="1" applyAlignment="1">
      <alignment vertical="top" wrapText="1"/>
    </xf>
    <xf numFmtId="187" fontId="5" fillId="0" borderId="9" xfId="1" applyNumberFormat="1" applyFont="1" applyBorder="1" applyAlignment="1">
      <alignment horizontal="center" vertical="top" wrapText="1"/>
    </xf>
    <xf numFmtId="187" fontId="6" fillId="0" borderId="9" xfId="1" applyNumberFormat="1" applyFont="1" applyBorder="1" applyAlignment="1">
      <alignment vertical="top" wrapText="1"/>
    </xf>
    <xf numFmtId="3" fontId="5" fillId="0" borderId="9" xfId="0" applyNumberFormat="1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187" fontId="5" fillId="0" borderId="14" xfId="1" applyNumberFormat="1" applyFont="1" applyBorder="1" applyAlignment="1">
      <alignment vertical="top" wrapText="1"/>
    </xf>
    <xf numFmtId="187" fontId="5" fillId="0" borderId="14" xfId="1" applyNumberFormat="1" applyFont="1" applyBorder="1" applyAlignment="1">
      <alignment horizontal="center" vertical="top" wrapText="1"/>
    </xf>
    <xf numFmtId="187" fontId="5" fillId="2" borderId="14" xfId="1" applyNumberFormat="1" applyFont="1" applyFill="1" applyBorder="1" applyAlignment="1">
      <alignment horizontal="center" vertical="top" wrapText="1"/>
    </xf>
    <xf numFmtId="187" fontId="6" fillId="0" borderId="14" xfId="1" applyNumberFormat="1" applyFont="1" applyBorder="1" applyAlignment="1">
      <alignment horizontal="right" vertical="top" wrapText="1"/>
    </xf>
    <xf numFmtId="0" fontId="5" fillId="0" borderId="14" xfId="0" applyFont="1" applyBorder="1" applyAlignment="1">
      <alignment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187" fontId="5" fillId="0" borderId="15" xfId="1" applyNumberFormat="1" applyFont="1" applyBorder="1" applyAlignment="1">
      <alignment vertical="top" wrapText="1"/>
    </xf>
    <xf numFmtId="187" fontId="5" fillId="0" borderId="15" xfId="1" applyNumberFormat="1" applyFont="1" applyBorder="1" applyAlignment="1">
      <alignment horizontal="center" vertical="top" wrapText="1"/>
    </xf>
    <xf numFmtId="187" fontId="5" fillId="2" borderId="15" xfId="1" applyNumberFormat="1" applyFont="1" applyFill="1" applyBorder="1" applyAlignment="1">
      <alignment vertical="top" wrapText="1"/>
    </xf>
    <xf numFmtId="187" fontId="5" fillId="2" borderId="15" xfId="1" applyNumberFormat="1" applyFont="1" applyFill="1" applyBorder="1" applyAlignment="1">
      <alignment horizontal="center" vertical="top" wrapText="1"/>
    </xf>
    <xf numFmtId="187" fontId="6" fillId="0" borderId="15" xfId="1" applyNumberFormat="1" applyFont="1" applyBorder="1" applyAlignment="1">
      <alignment horizontal="right" vertical="top" wrapText="1"/>
    </xf>
    <xf numFmtId="0" fontId="5" fillId="0" borderId="15" xfId="0" applyFont="1" applyBorder="1" applyAlignment="1">
      <alignment wrapText="1"/>
    </xf>
    <xf numFmtId="0" fontId="9" fillId="0" borderId="15" xfId="0" applyFont="1" applyBorder="1" applyAlignment="1">
      <alignment horizontal="left" vertical="center" wrapText="1"/>
    </xf>
    <xf numFmtId="187" fontId="5" fillId="2" borderId="15" xfId="1" applyNumberFormat="1" applyFont="1" applyFill="1" applyBorder="1"/>
    <xf numFmtId="187" fontId="6" fillId="0" borderId="15" xfId="1" applyNumberFormat="1" applyFont="1" applyBorder="1" applyAlignment="1">
      <alignment horizontal="right"/>
    </xf>
    <xf numFmtId="14" fontId="5" fillId="0" borderId="15" xfId="0" applyNumberFormat="1" applyFont="1" applyBorder="1" applyAlignment="1">
      <alignment horizontal="center" vertical="top" wrapText="1"/>
    </xf>
    <xf numFmtId="0" fontId="9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vertical="top" wrapText="1"/>
    </xf>
    <xf numFmtId="187" fontId="6" fillId="0" borderId="15" xfId="1" applyNumberFormat="1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top" wrapText="1"/>
    </xf>
    <xf numFmtId="3" fontId="5" fillId="0" borderId="15" xfId="0" applyNumberFormat="1" applyFont="1" applyBorder="1" applyAlignment="1">
      <alignment vertical="top" wrapText="1"/>
    </xf>
    <xf numFmtId="49" fontId="5" fillId="0" borderId="15" xfId="0" applyNumberFormat="1" applyFont="1" applyBorder="1" applyAlignment="1">
      <alignment horizontal="left" vertical="center"/>
    </xf>
    <xf numFmtId="187" fontId="5" fillId="0" borderId="15" xfId="1" applyNumberFormat="1" applyFont="1" applyBorder="1" applyAlignment="1">
      <alignment horizontal="right" vertical="top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187" fontId="5" fillId="0" borderId="16" xfId="1" applyNumberFormat="1" applyFont="1" applyBorder="1" applyAlignment="1">
      <alignment vertical="top" wrapText="1"/>
    </xf>
    <xf numFmtId="187" fontId="5" fillId="0" borderId="16" xfId="1" applyNumberFormat="1" applyFont="1" applyBorder="1" applyAlignment="1">
      <alignment horizontal="center" vertical="top" wrapText="1"/>
    </xf>
    <xf numFmtId="187" fontId="6" fillId="0" borderId="16" xfId="1" applyNumberFormat="1" applyFont="1" applyBorder="1" applyAlignment="1">
      <alignment horizontal="right" vertical="top" wrapText="1"/>
    </xf>
    <xf numFmtId="187" fontId="5" fillId="0" borderId="16" xfId="1" applyNumberFormat="1" applyFont="1" applyBorder="1" applyAlignment="1">
      <alignment horizontal="right" vertical="top" wrapText="1"/>
    </xf>
    <xf numFmtId="0" fontId="9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vertical="top" wrapText="1"/>
    </xf>
    <xf numFmtId="43" fontId="5" fillId="0" borderId="14" xfId="1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right" vertical="top" wrapText="1"/>
    </xf>
    <xf numFmtId="3" fontId="5" fillId="0" borderId="14" xfId="0" applyNumberFormat="1" applyFont="1" applyBorder="1" applyAlignment="1">
      <alignment horizontal="right" vertical="top" wrapText="1"/>
    </xf>
    <xf numFmtId="187" fontId="5" fillId="0" borderId="15" xfId="1" applyNumberFormat="1" applyFont="1" applyBorder="1" applyAlignment="1">
      <alignment horizontal="left" vertical="top" wrapText="1"/>
    </xf>
    <xf numFmtId="187" fontId="6" fillId="0" borderId="15" xfId="1" applyNumberFormat="1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center"/>
    </xf>
    <xf numFmtId="49" fontId="5" fillId="3" borderId="15" xfId="1" applyNumberFormat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center" vertical="top" wrapText="1"/>
    </xf>
    <xf numFmtId="187" fontId="5" fillId="3" borderId="15" xfId="1" applyNumberFormat="1" applyFont="1" applyFill="1" applyBorder="1" applyAlignment="1">
      <alignment horizontal="center" vertical="top" wrapText="1"/>
    </xf>
    <xf numFmtId="187" fontId="5" fillId="3" borderId="15" xfId="1" applyNumberFormat="1" applyFont="1" applyFill="1" applyBorder="1" applyAlignment="1">
      <alignment horizontal="center"/>
    </xf>
    <xf numFmtId="187" fontId="6" fillId="3" borderId="15" xfId="1" applyNumberFormat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vertical="top" wrapText="1"/>
    </xf>
    <xf numFmtId="49" fontId="5" fillId="0" borderId="15" xfId="0" applyNumberFormat="1" applyFont="1" applyBorder="1" applyAlignment="1">
      <alignment horizontal="center" vertical="top" wrapText="1"/>
    </xf>
    <xf numFmtId="187" fontId="5" fillId="0" borderId="16" xfId="1" applyNumberFormat="1" applyFont="1" applyBorder="1" applyAlignment="1">
      <alignment horizontal="left" vertical="top" wrapText="1"/>
    </xf>
    <xf numFmtId="187" fontId="6" fillId="0" borderId="16" xfId="1" applyNumberFormat="1" applyFont="1" applyBorder="1" applyAlignment="1">
      <alignment horizontal="center" vertical="top" wrapText="1"/>
    </xf>
    <xf numFmtId="0" fontId="5" fillId="0" borderId="17" xfId="0" applyFont="1" applyBorder="1" applyAlignment="1">
      <alignment vertical="top" wrapText="1"/>
    </xf>
    <xf numFmtId="0" fontId="5" fillId="0" borderId="17" xfId="0" applyFont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187" fontId="5" fillId="0" borderId="17" xfId="1" applyNumberFormat="1" applyFont="1" applyBorder="1" applyAlignment="1">
      <alignment vertical="top" wrapText="1"/>
    </xf>
    <xf numFmtId="187" fontId="5" fillId="0" borderId="17" xfId="1" applyNumberFormat="1" applyFont="1" applyBorder="1" applyAlignment="1">
      <alignment horizontal="center" vertical="top" wrapText="1"/>
    </xf>
    <xf numFmtId="187" fontId="6" fillId="0" borderId="17" xfId="1" applyNumberFormat="1" applyFont="1" applyBorder="1" applyAlignment="1">
      <alignment vertical="top" wrapText="1"/>
    </xf>
    <xf numFmtId="3" fontId="5" fillId="0" borderId="17" xfId="0" applyNumberFormat="1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20" xfId="0" applyFont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187" fontId="5" fillId="0" borderId="20" xfId="1" applyNumberFormat="1" applyFont="1" applyBorder="1" applyAlignment="1">
      <alignment vertical="top" wrapText="1"/>
    </xf>
    <xf numFmtId="187" fontId="5" fillId="0" borderId="20" xfId="1" applyNumberFormat="1" applyFont="1" applyBorder="1" applyAlignment="1">
      <alignment horizontal="center" vertical="top" wrapText="1"/>
    </xf>
    <xf numFmtId="187" fontId="5" fillId="0" borderId="20" xfId="1" applyNumberFormat="1" applyFont="1" applyBorder="1" applyAlignment="1">
      <alignment horizontal="right" vertical="top" wrapText="1"/>
    </xf>
    <xf numFmtId="3" fontId="5" fillId="0" borderId="20" xfId="0" applyNumberFormat="1" applyFont="1" applyBorder="1" applyAlignment="1">
      <alignment horizontal="right" vertical="top" wrapText="1"/>
    </xf>
    <xf numFmtId="187" fontId="5" fillId="2" borderId="20" xfId="1" applyNumberFormat="1" applyFont="1" applyFill="1" applyBorder="1" applyAlignment="1">
      <alignment horizontal="center" vertical="top" wrapText="1"/>
    </xf>
    <xf numFmtId="187" fontId="6" fillId="0" borderId="20" xfId="1" applyNumberFormat="1" applyFont="1" applyBorder="1" applyAlignment="1">
      <alignment vertical="top" wrapText="1"/>
    </xf>
    <xf numFmtId="187" fontId="6" fillId="0" borderId="20" xfId="1" applyNumberFormat="1" applyFont="1" applyBorder="1" applyAlignment="1">
      <alignment horizontal="center" vertical="top" wrapText="1"/>
    </xf>
    <xf numFmtId="0" fontId="11" fillId="0" borderId="15" xfId="0" applyFont="1" applyBorder="1" applyAlignment="1">
      <alignment horizontal="left" vertical="center"/>
    </xf>
    <xf numFmtId="3" fontId="5" fillId="0" borderId="20" xfId="0" applyNumberFormat="1" applyFont="1" applyBorder="1" applyAlignment="1">
      <alignment vertical="top" wrapText="1"/>
    </xf>
    <xf numFmtId="49" fontId="5" fillId="0" borderId="20" xfId="0" applyNumberFormat="1" applyFont="1" applyBorder="1" applyAlignment="1">
      <alignment horizontal="center" vertical="top" wrapText="1"/>
    </xf>
    <xf numFmtId="49" fontId="5" fillId="3" borderId="20" xfId="1" applyNumberFormat="1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5" fillId="0" borderId="23" xfId="0" applyFont="1" applyBorder="1" applyAlignment="1">
      <alignment horizontal="center" vertical="top" wrapText="1"/>
    </xf>
    <xf numFmtId="187" fontId="5" fillId="0" borderId="15" xfId="1" applyNumberFormat="1" applyFont="1" applyBorder="1" applyAlignment="1">
      <alignment horizontal="center" vertical="top" wrapText="1"/>
    </xf>
    <xf numFmtId="0" fontId="5" fillId="0" borderId="2" xfId="0" applyFont="1" applyBorder="1"/>
    <xf numFmtId="187" fontId="5" fillId="0" borderId="4" xfId="1" applyNumberFormat="1" applyFont="1" applyBorder="1" applyAlignment="1">
      <alignment horizontal="right" vertical="top" wrapText="1"/>
    </xf>
    <xf numFmtId="187" fontId="6" fillId="0" borderId="7" xfId="1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187" fontId="5" fillId="0" borderId="7" xfId="0" applyNumberFormat="1" applyFont="1" applyBorder="1" applyAlignment="1">
      <alignment horizontal="right" vertical="top" wrapText="1"/>
    </xf>
    <xf numFmtId="187" fontId="5" fillId="2" borderId="20" xfId="1" applyNumberFormat="1" applyFont="1" applyFill="1" applyBorder="1" applyAlignment="1">
      <alignment horizontal="center" vertical="top" wrapText="1"/>
    </xf>
    <xf numFmtId="187" fontId="5" fillId="2" borderId="15" xfId="1" applyNumberFormat="1" applyFont="1" applyFill="1" applyBorder="1" applyAlignment="1">
      <alignment horizontal="center" vertical="top" wrapText="1"/>
    </xf>
    <xf numFmtId="0" fontId="6" fillId="2" borderId="0" xfId="0" applyFont="1" applyFill="1"/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87" fontId="6" fillId="2" borderId="14" xfId="1" applyNumberFormat="1" applyFont="1" applyFill="1" applyBorder="1" applyAlignment="1">
      <alignment horizontal="right" vertical="top" wrapText="1"/>
    </xf>
    <xf numFmtId="187" fontId="6" fillId="2" borderId="15" xfId="1" applyNumberFormat="1" applyFont="1" applyFill="1" applyBorder="1" applyAlignment="1">
      <alignment horizontal="right" vertical="top" wrapText="1"/>
    </xf>
    <xf numFmtId="187" fontId="6" fillId="2" borderId="15" xfId="1" applyNumberFormat="1" applyFont="1" applyFill="1" applyBorder="1" applyAlignment="1">
      <alignment horizontal="right"/>
    </xf>
    <xf numFmtId="0" fontId="6" fillId="2" borderId="15" xfId="0" applyFont="1" applyFill="1" applyBorder="1" applyAlignment="1">
      <alignment vertical="top" wrapText="1"/>
    </xf>
    <xf numFmtId="187" fontId="6" fillId="2" borderId="16" xfId="1" applyNumberFormat="1" applyFont="1" applyFill="1" applyBorder="1" applyAlignment="1">
      <alignment horizontal="right" vertical="top" wrapText="1"/>
    </xf>
    <xf numFmtId="187" fontId="6" fillId="2" borderId="0" xfId="1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right" vertical="top" wrapText="1"/>
    </xf>
    <xf numFmtId="0" fontId="6" fillId="2" borderId="14" xfId="0" applyFont="1" applyFill="1" applyBorder="1" applyAlignment="1">
      <alignment horizontal="right" vertical="top" wrapText="1"/>
    </xf>
    <xf numFmtId="187" fontId="6" fillId="2" borderId="15" xfId="1" applyNumberFormat="1" applyFont="1" applyFill="1" applyBorder="1" applyAlignment="1">
      <alignment horizontal="center" vertical="top" wrapText="1"/>
    </xf>
    <xf numFmtId="187" fontId="6" fillId="2" borderId="16" xfId="1" applyNumberFormat="1" applyFont="1" applyFill="1" applyBorder="1" applyAlignment="1">
      <alignment horizontal="center" vertical="top" wrapText="1"/>
    </xf>
    <xf numFmtId="187" fontId="6" fillId="2" borderId="0" xfId="1" applyNumberFormat="1" applyFont="1" applyFill="1" applyBorder="1" applyAlignment="1">
      <alignment horizontal="center" vertical="top" wrapText="1"/>
    </xf>
    <xf numFmtId="187" fontId="6" fillId="2" borderId="9" xfId="1" applyNumberFormat="1" applyFont="1" applyFill="1" applyBorder="1" applyAlignment="1">
      <alignment horizontal="center" vertical="top" wrapText="1"/>
    </xf>
    <xf numFmtId="187" fontId="6" fillId="2" borderId="17" xfId="1" applyNumberFormat="1" applyFont="1" applyFill="1" applyBorder="1" applyAlignment="1">
      <alignment horizontal="center" vertical="top" wrapText="1"/>
    </xf>
    <xf numFmtId="187" fontId="6" fillId="2" borderId="20" xfId="1" applyNumberFormat="1" applyFont="1" applyFill="1" applyBorder="1" applyAlignment="1">
      <alignment vertical="top" wrapText="1"/>
    </xf>
    <xf numFmtId="187" fontId="5" fillId="2" borderId="4" xfId="1" applyNumberFormat="1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justify" vertical="top" wrapText="1"/>
    </xf>
    <xf numFmtId="0" fontId="6" fillId="2" borderId="15" xfId="0" applyFont="1" applyFill="1" applyBorder="1" applyAlignment="1">
      <alignment horizontal="center" vertical="top" wrapText="1"/>
    </xf>
    <xf numFmtId="187" fontId="6" fillId="2" borderId="20" xfId="1" applyNumberFormat="1" applyFont="1" applyFill="1" applyBorder="1" applyAlignment="1">
      <alignment horizontal="center" vertical="top" wrapText="1"/>
    </xf>
    <xf numFmtId="0" fontId="8" fillId="2" borderId="0" xfId="0" applyFont="1" applyFill="1"/>
    <xf numFmtId="187" fontId="5" fillId="0" borderId="15" xfId="1" applyNumberFormat="1" applyFont="1" applyBorder="1" applyAlignment="1">
      <alignment horizontal="center" vertical="top" wrapText="1"/>
    </xf>
    <xf numFmtId="187" fontId="5" fillId="0" borderId="20" xfId="0" applyNumberFormat="1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5" fillId="0" borderId="0" xfId="0" applyFont="1" applyAlignment="1"/>
    <xf numFmtId="187" fontId="5" fillId="0" borderId="15" xfId="1" applyNumberFormat="1" applyFont="1" applyBorder="1" applyAlignment="1">
      <alignment horizontal="center" vertical="top" wrapText="1"/>
    </xf>
    <xf numFmtId="187" fontId="8" fillId="0" borderId="20" xfId="1" applyNumberFormat="1" applyFont="1" applyBorder="1" applyAlignment="1">
      <alignment vertical="top" wrapText="1"/>
    </xf>
    <xf numFmtId="187" fontId="5" fillId="3" borderId="15" xfId="1" applyNumberFormat="1" applyFont="1" applyFill="1" applyBorder="1" applyAlignment="1">
      <alignment vertical="top" wrapText="1"/>
    </xf>
    <xf numFmtId="189" fontId="5" fillId="0" borderId="15" xfId="1" applyNumberFormat="1" applyFont="1" applyBorder="1" applyAlignment="1">
      <alignment vertical="top" wrapText="1"/>
    </xf>
    <xf numFmtId="0" fontId="5" fillId="0" borderId="20" xfId="0" applyFont="1" applyBorder="1" applyAlignment="1">
      <alignment vertical="center" wrapText="1"/>
    </xf>
    <xf numFmtId="0" fontId="5" fillId="0" borderId="4" xfId="0" applyFont="1" applyBorder="1" applyAlignment="1">
      <alignment vertical="top" wrapText="1"/>
    </xf>
    <xf numFmtId="187" fontId="16" fillId="0" borderId="4" xfId="1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2" fillId="0" borderId="12" xfId="0" applyFont="1" applyBorder="1" applyAlignment="1">
      <alignment wrapText="1"/>
    </xf>
    <xf numFmtId="0" fontId="12" fillId="0" borderId="9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5" fillId="0" borderId="0" xfId="0" applyFont="1" applyAlignment="1"/>
    <xf numFmtId="187" fontId="5" fillId="0" borderId="0" xfId="1" applyNumberFormat="1" applyFont="1" applyAlignment="1">
      <alignment horizontal="right"/>
    </xf>
    <xf numFmtId="187" fontId="5" fillId="2" borderId="15" xfId="1" applyNumberFormat="1" applyFont="1" applyFill="1" applyBorder="1" applyAlignment="1">
      <alignment horizontal="center"/>
    </xf>
    <xf numFmtId="187" fontId="5" fillId="2" borderId="15" xfId="1" applyNumberFormat="1" applyFont="1" applyFill="1" applyBorder="1" applyAlignment="1">
      <alignment horizontal="center" vertical="top" wrapText="1"/>
    </xf>
    <xf numFmtId="187" fontId="5" fillId="0" borderId="15" xfId="1" applyNumberFormat="1" applyFont="1" applyBorder="1" applyAlignment="1">
      <alignment horizontal="center" vertical="top" wrapText="1"/>
    </xf>
    <xf numFmtId="0" fontId="10" fillId="0" borderId="9" xfId="0" applyFont="1" applyBorder="1" applyAlignment="1"/>
    <xf numFmtId="187" fontId="5" fillId="2" borderId="21" xfId="1" applyNumberFormat="1" applyFont="1" applyFill="1" applyBorder="1" applyAlignment="1">
      <alignment horizontal="center" vertical="top" wrapText="1"/>
    </xf>
    <xf numFmtId="187" fontId="5" fillId="2" borderId="22" xfId="1" applyNumberFormat="1" applyFont="1" applyFill="1" applyBorder="1" applyAlignment="1">
      <alignment horizontal="center" vertical="top" wrapText="1"/>
    </xf>
    <xf numFmtId="187" fontId="5" fillId="2" borderId="20" xfId="1" applyNumberFormat="1" applyFont="1" applyFill="1" applyBorder="1" applyAlignment="1">
      <alignment horizontal="center" vertical="top" wrapText="1"/>
    </xf>
    <xf numFmtId="187" fontId="5" fillId="2" borderId="16" xfId="1" applyNumberFormat="1" applyFont="1" applyFill="1" applyBorder="1" applyAlignment="1">
      <alignment horizontal="center" vertical="top" wrapText="1"/>
    </xf>
    <xf numFmtId="187" fontId="5" fillId="2" borderId="18" xfId="1" applyNumberFormat="1" applyFont="1" applyFill="1" applyBorder="1" applyAlignment="1">
      <alignment horizontal="center" vertical="top" wrapText="1"/>
    </xf>
    <xf numFmtId="187" fontId="5" fillId="2" borderId="19" xfId="1" applyNumberFormat="1" applyFont="1" applyFill="1" applyBorder="1" applyAlignment="1">
      <alignment horizontal="center" vertical="top" wrapText="1"/>
    </xf>
    <xf numFmtId="187" fontId="5" fillId="2" borderId="17" xfId="1" applyNumberFormat="1" applyFont="1" applyFill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6"/>
  <sheetViews>
    <sheetView tabSelected="1" topLeftCell="A57" zoomScale="98" zoomScaleNormal="98" workbookViewId="0">
      <selection activeCell="Z88" sqref="Z88"/>
    </sheetView>
  </sheetViews>
  <sheetFormatPr defaultRowHeight="18.75"/>
  <cols>
    <col min="1" max="1" width="1.75" style="4" customWidth="1"/>
    <col min="2" max="2" width="5.125" style="3" customWidth="1"/>
    <col min="3" max="3" width="36.375" style="59" customWidth="1"/>
    <col min="4" max="4" width="8" style="4" customWidth="1"/>
    <col min="5" max="5" width="6.375" style="3" customWidth="1"/>
    <col min="6" max="6" width="6.875" style="4" customWidth="1"/>
    <col min="7" max="7" width="0.125" style="5" hidden="1" customWidth="1"/>
    <col min="8" max="8" width="9.875" style="6" customWidth="1"/>
    <col min="9" max="9" width="5.25" style="182" customWidth="1"/>
    <col min="10" max="10" width="5.125" style="182" customWidth="1"/>
    <col min="11" max="11" width="5.375" style="182" customWidth="1"/>
    <col min="12" max="12" width="5.375" style="4" customWidth="1"/>
    <col min="13" max="13" width="5.75" style="4" customWidth="1"/>
    <col min="14" max="14" width="5.5" style="4" customWidth="1"/>
    <col min="15" max="17" width="12.5" style="5" hidden="1" customWidth="1"/>
    <col min="18" max="18" width="8.75" style="7" customWidth="1"/>
    <col min="19" max="19" width="0.25" style="156" hidden="1" customWidth="1"/>
    <col min="20" max="20" width="7.75" style="8" customWidth="1"/>
    <col min="21" max="21" width="0.125" style="156" hidden="1" customWidth="1"/>
    <col min="22" max="22" width="8" style="8" customWidth="1"/>
    <col min="23" max="23" width="8.625" style="4" customWidth="1"/>
    <col min="24" max="25" width="9" style="4" customWidth="1"/>
    <col min="26" max="26" width="9.25" style="4" customWidth="1"/>
    <col min="27" max="16384" width="9" style="4"/>
  </cols>
  <sheetData>
    <row r="1" spans="1:26" ht="21" customHeight="1">
      <c r="Z1" s="9">
        <v>19</v>
      </c>
    </row>
    <row r="2" spans="1:26" ht="27" customHeight="1" thickBot="1">
      <c r="B2" s="242" t="s">
        <v>73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</row>
    <row r="3" spans="1:26" s="35" customFormat="1" ht="26.25" customHeight="1">
      <c r="B3" s="190" t="s">
        <v>72</v>
      </c>
      <c r="C3" s="208" t="s">
        <v>0</v>
      </c>
      <c r="D3" s="190" t="s">
        <v>1</v>
      </c>
      <c r="E3" s="190" t="s">
        <v>2</v>
      </c>
      <c r="F3" s="211" t="s">
        <v>3</v>
      </c>
      <c r="G3" s="212"/>
      <c r="H3" s="213"/>
      <c r="I3" s="220" t="s">
        <v>4</v>
      </c>
      <c r="J3" s="221"/>
      <c r="K3" s="222"/>
      <c r="L3" s="229" t="s">
        <v>5</v>
      </c>
      <c r="M3" s="230"/>
      <c r="N3" s="231"/>
      <c r="O3" s="34"/>
      <c r="P3" s="34"/>
      <c r="Q3" s="34"/>
      <c r="R3" s="232" t="s">
        <v>7</v>
      </c>
      <c r="S3" s="233"/>
      <c r="T3" s="233"/>
      <c r="U3" s="233"/>
      <c r="V3" s="234"/>
      <c r="W3" s="211" t="s">
        <v>9</v>
      </c>
      <c r="X3" s="212"/>
      <c r="Y3" s="213"/>
      <c r="Z3" s="190" t="s">
        <v>10</v>
      </c>
    </row>
    <row r="4" spans="1:26" s="35" customFormat="1" ht="26.25" customHeight="1">
      <c r="B4" s="191"/>
      <c r="C4" s="209"/>
      <c r="D4" s="191"/>
      <c r="E4" s="191"/>
      <c r="F4" s="214"/>
      <c r="G4" s="215"/>
      <c r="H4" s="216"/>
      <c r="I4" s="223"/>
      <c r="J4" s="224"/>
      <c r="K4" s="225"/>
      <c r="L4" s="193" t="s">
        <v>6</v>
      </c>
      <c r="M4" s="194"/>
      <c r="N4" s="195"/>
      <c r="O4" s="36"/>
      <c r="P4" s="36"/>
      <c r="Q4" s="36"/>
      <c r="R4" s="196" t="s">
        <v>8</v>
      </c>
      <c r="S4" s="197"/>
      <c r="T4" s="198"/>
      <c r="U4" s="198"/>
      <c r="V4" s="199"/>
      <c r="W4" s="214"/>
      <c r="X4" s="215"/>
      <c r="Y4" s="216"/>
      <c r="Z4" s="191"/>
    </row>
    <row r="5" spans="1:26" s="35" customFormat="1" ht="33.75" customHeight="1" thickBot="1">
      <c r="B5" s="191"/>
      <c r="C5" s="209"/>
      <c r="D5" s="191"/>
      <c r="E5" s="191"/>
      <c r="F5" s="217"/>
      <c r="G5" s="218"/>
      <c r="H5" s="219"/>
      <c r="I5" s="226"/>
      <c r="J5" s="227"/>
      <c r="K5" s="228"/>
      <c r="L5" s="200"/>
      <c r="M5" s="201"/>
      <c r="N5" s="202"/>
      <c r="O5" s="37"/>
      <c r="P5" s="37"/>
      <c r="Q5" s="37"/>
      <c r="R5" s="203"/>
      <c r="S5" s="204"/>
      <c r="T5" s="204"/>
      <c r="U5" s="204"/>
      <c r="V5" s="205"/>
      <c r="W5" s="217"/>
      <c r="X5" s="218"/>
      <c r="Y5" s="219"/>
      <c r="Z5" s="191"/>
    </row>
    <row r="6" spans="1:26" s="35" customFormat="1" ht="26.25" customHeight="1">
      <c r="B6" s="191"/>
      <c r="C6" s="209"/>
      <c r="D6" s="191"/>
      <c r="E6" s="191"/>
      <c r="F6" s="38" t="s">
        <v>11</v>
      </c>
      <c r="G6" s="39"/>
      <c r="H6" s="190" t="s">
        <v>45</v>
      </c>
      <c r="I6" s="235">
        <v>2558</v>
      </c>
      <c r="J6" s="235">
        <v>2559</v>
      </c>
      <c r="K6" s="235">
        <v>2560</v>
      </c>
      <c r="L6" s="190">
        <v>2558</v>
      </c>
      <c r="M6" s="190">
        <v>2559</v>
      </c>
      <c r="N6" s="190">
        <v>2560</v>
      </c>
      <c r="O6" s="40" t="s">
        <v>22</v>
      </c>
      <c r="P6" s="40" t="s">
        <v>23</v>
      </c>
      <c r="Q6" s="40"/>
      <c r="R6" s="190">
        <v>2558</v>
      </c>
      <c r="S6" s="157"/>
      <c r="T6" s="206">
        <v>2559</v>
      </c>
      <c r="U6" s="157"/>
      <c r="V6" s="206">
        <v>2560</v>
      </c>
      <c r="W6" s="190">
        <v>2558</v>
      </c>
      <c r="X6" s="190">
        <v>2559</v>
      </c>
      <c r="Y6" s="190">
        <v>2560</v>
      </c>
      <c r="Z6" s="191"/>
    </row>
    <row r="7" spans="1:26" s="35" customFormat="1" ht="26.25" customHeight="1" thickBot="1">
      <c r="B7" s="192"/>
      <c r="C7" s="210"/>
      <c r="D7" s="192"/>
      <c r="E7" s="192"/>
      <c r="F7" s="41" t="s">
        <v>12</v>
      </c>
      <c r="G7" s="42"/>
      <c r="H7" s="192"/>
      <c r="I7" s="236"/>
      <c r="J7" s="236"/>
      <c r="K7" s="236"/>
      <c r="L7" s="192"/>
      <c r="M7" s="192"/>
      <c r="N7" s="192"/>
      <c r="O7" s="43"/>
      <c r="P7" s="43"/>
      <c r="Q7" s="43"/>
      <c r="R7" s="192"/>
      <c r="S7" s="158"/>
      <c r="T7" s="207"/>
      <c r="U7" s="158"/>
      <c r="V7" s="207"/>
      <c r="W7" s="192"/>
      <c r="X7" s="192"/>
      <c r="Y7" s="192"/>
      <c r="Z7" s="192"/>
    </row>
    <row r="8" spans="1:26" s="6" customFormat="1" ht="21" customHeight="1">
      <c r="A8" s="31"/>
      <c r="B8" s="64">
        <v>1</v>
      </c>
      <c r="C8" s="65" t="s">
        <v>123</v>
      </c>
      <c r="D8" s="64" t="s">
        <v>85</v>
      </c>
      <c r="E8" s="64">
        <v>1</v>
      </c>
      <c r="F8" s="66">
        <v>1</v>
      </c>
      <c r="G8" s="67">
        <f>31900*6+31900*6+11200*12</f>
        <v>517200</v>
      </c>
      <c r="H8" s="68">
        <f>G8</f>
        <v>517200</v>
      </c>
      <c r="I8" s="68">
        <v>1</v>
      </c>
      <c r="J8" s="68">
        <v>1</v>
      </c>
      <c r="K8" s="68">
        <v>1</v>
      </c>
      <c r="L8" s="68" t="s">
        <v>13</v>
      </c>
      <c r="M8" s="69" t="s">
        <v>13</v>
      </c>
      <c r="N8" s="69" t="s">
        <v>13</v>
      </c>
      <c r="O8" s="70">
        <v>28930</v>
      </c>
      <c r="P8" s="70">
        <v>30100</v>
      </c>
      <c r="Q8" s="70">
        <f>P8-O8</f>
        <v>1170</v>
      </c>
      <c r="R8" s="71">
        <f>Q8*12</f>
        <v>14040</v>
      </c>
      <c r="S8" s="159" t="s">
        <v>97</v>
      </c>
      <c r="T8" s="71">
        <v>14640</v>
      </c>
      <c r="U8" s="159" t="s">
        <v>96</v>
      </c>
      <c r="V8" s="71">
        <f>1220*12</f>
        <v>14640</v>
      </c>
      <c r="W8" s="68">
        <f>H8+R8</f>
        <v>531240</v>
      </c>
      <c r="X8" s="68">
        <f>H8+R8+T8</f>
        <v>545880</v>
      </c>
      <c r="Y8" s="68">
        <f>H8+R8+T8+V8</f>
        <v>560520</v>
      </c>
      <c r="Z8" s="72"/>
    </row>
    <row r="9" spans="1:26" s="6" customFormat="1" ht="21" customHeight="1">
      <c r="A9" s="31"/>
      <c r="B9" s="73">
        <v>2</v>
      </c>
      <c r="C9" s="74" t="s">
        <v>127</v>
      </c>
      <c r="D9" s="73" t="s">
        <v>86</v>
      </c>
      <c r="E9" s="73">
        <v>1</v>
      </c>
      <c r="F9" s="75">
        <v>1</v>
      </c>
      <c r="G9" s="76">
        <f>25470*6+25470*6+3500*12</f>
        <v>347640</v>
      </c>
      <c r="H9" s="77">
        <f>G9</f>
        <v>347640</v>
      </c>
      <c r="I9" s="77">
        <v>1</v>
      </c>
      <c r="J9" s="77">
        <v>1</v>
      </c>
      <c r="K9" s="77">
        <v>1</v>
      </c>
      <c r="L9" s="77" t="s">
        <v>13</v>
      </c>
      <c r="M9" s="183" t="s">
        <v>13</v>
      </c>
      <c r="N9" s="183" t="s">
        <v>13</v>
      </c>
      <c r="O9" s="79">
        <v>21190</v>
      </c>
      <c r="P9" s="79">
        <v>22040</v>
      </c>
      <c r="Q9" s="80">
        <f t="shared" ref="Q9:Q11" si="0">P9-O9</f>
        <v>850</v>
      </c>
      <c r="R9" s="81">
        <f>Q9*12</f>
        <v>10200</v>
      </c>
      <c r="S9" s="160" t="s">
        <v>98</v>
      </c>
      <c r="T9" s="81">
        <v>12000</v>
      </c>
      <c r="U9" s="160" t="s">
        <v>99</v>
      </c>
      <c r="V9" s="81">
        <v>12120</v>
      </c>
      <c r="W9" s="77">
        <f>H9+R9</f>
        <v>357840</v>
      </c>
      <c r="X9" s="77">
        <f>H9+R9+T9</f>
        <v>369840</v>
      </c>
      <c r="Y9" s="77">
        <f>H9+R9+T9+V9</f>
        <v>381960</v>
      </c>
      <c r="Z9" s="82"/>
    </row>
    <row r="10" spans="1:26" ht="22.5" customHeight="1">
      <c r="B10" s="73"/>
      <c r="C10" s="83" t="s">
        <v>18</v>
      </c>
      <c r="D10" s="75"/>
      <c r="E10" s="75"/>
      <c r="F10" s="75"/>
      <c r="G10" s="76"/>
      <c r="H10" s="77"/>
      <c r="I10" s="77"/>
      <c r="J10" s="77"/>
      <c r="K10" s="77"/>
      <c r="L10" s="78"/>
      <c r="M10" s="78"/>
      <c r="N10" s="78"/>
      <c r="O10" s="80"/>
      <c r="P10" s="80"/>
      <c r="Q10" s="80"/>
      <c r="R10" s="81"/>
      <c r="S10" s="160"/>
      <c r="T10" s="81"/>
      <c r="U10" s="160"/>
      <c r="V10" s="81"/>
      <c r="W10" s="77" t="s">
        <v>19</v>
      </c>
      <c r="X10" s="77" t="s">
        <v>19</v>
      </c>
      <c r="Y10" s="77" t="s">
        <v>19</v>
      </c>
      <c r="Z10" s="75"/>
    </row>
    <row r="11" spans="1:26" ht="21" customHeight="1">
      <c r="B11" s="73">
        <v>3</v>
      </c>
      <c r="C11" s="74" t="s">
        <v>124</v>
      </c>
      <c r="D11" s="75" t="s">
        <v>86</v>
      </c>
      <c r="E11" s="75">
        <v>1</v>
      </c>
      <c r="F11" s="75">
        <v>1</v>
      </c>
      <c r="G11" s="76">
        <f>23370*6+23550*6+3500*12</f>
        <v>323520</v>
      </c>
      <c r="H11" s="77">
        <f>G11</f>
        <v>323520</v>
      </c>
      <c r="I11" s="77">
        <v>1</v>
      </c>
      <c r="J11" s="77">
        <v>1</v>
      </c>
      <c r="K11" s="77">
        <v>1</v>
      </c>
      <c r="L11" s="78" t="s">
        <v>13</v>
      </c>
      <c r="M11" s="78" t="s">
        <v>13</v>
      </c>
      <c r="N11" s="78" t="s">
        <v>13</v>
      </c>
      <c r="O11" s="84">
        <v>20360</v>
      </c>
      <c r="P11" s="84">
        <v>21190</v>
      </c>
      <c r="Q11" s="80">
        <f t="shared" si="0"/>
        <v>830</v>
      </c>
      <c r="R11" s="85">
        <f>Q11*12</f>
        <v>9960</v>
      </c>
      <c r="S11" s="161" t="s">
        <v>100</v>
      </c>
      <c r="T11" s="85">
        <v>11160</v>
      </c>
      <c r="U11" s="161" t="s">
        <v>101</v>
      </c>
      <c r="V11" s="85">
        <v>11520</v>
      </c>
      <c r="W11" s="77">
        <f t="shared" ref="W11:W71" si="1">H11+R11</f>
        <v>333480</v>
      </c>
      <c r="X11" s="77">
        <f t="shared" ref="X11:X56" si="2">H11+R11+T11</f>
        <v>344640</v>
      </c>
      <c r="Y11" s="77">
        <f t="shared" ref="Y11:Y71" si="3">H11+R11+T11+V11</f>
        <v>356160</v>
      </c>
      <c r="Z11" s="75"/>
    </row>
    <row r="12" spans="1:26" ht="21" customHeight="1">
      <c r="B12" s="73">
        <v>4</v>
      </c>
      <c r="C12" s="74" t="s">
        <v>20</v>
      </c>
      <c r="D12" s="75" t="s">
        <v>88</v>
      </c>
      <c r="E12" s="75">
        <v>1</v>
      </c>
      <c r="F12" s="75">
        <v>1</v>
      </c>
      <c r="G12" s="76">
        <f>22230*12</f>
        <v>266760</v>
      </c>
      <c r="H12" s="77">
        <f>G12</f>
        <v>266760</v>
      </c>
      <c r="I12" s="77">
        <v>1</v>
      </c>
      <c r="J12" s="77">
        <v>1</v>
      </c>
      <c r="K12" s="77">
        <v>1</v>
      </c>
      <c r="L12" s="78" t="s">
        <v>13</v>
      </c>
      <c r="M12" s="78" t="s">
        <v>13</v>
      </c>
      <c r="N12" s="78" t="s">
        <v>13</v>
      </c>
      <c r="O12" s="80">
        <v>18190</v>
      </c>
      <c r="P12" s="80">
        <v>18790</v>
      </c>
      <c r="Q12" s="80">
        <f>P12-O12</f>
        <v>600</v>
      </c>
      <c r="R12" s="81">
        <f>Q12*12</f>
        <v>7200</v>
      </c>
      <c r="S12" s="160" t="s">
        <v>102</v>
      </c>
      <c r="T12" s="81">
        <v>8640</v>
      </c>
      <c r="U12" s="160" t="s">
        <v>103</v>
      </c>
      <c r="V12" s="81">
        <v>8880</v>
      </c>
      <c r="W12" s="77">
        <f t="shared" si="1"/>
        <v>273960</v>
      </c>
      <c r="X12" s="77">
        <f t="shared" si="2"/>
        <v>282600</v>
      </c>
      <c r="Y12" s="77">
        <f t="shared" si="3"/>
        <v>291480</v>
      </c>
      <c r="Z12" s="75"/>
    </row>
    <row r="13" spans="1:26" ht="21" customHeight="1">
      <c r="B13" s="73">
        <v>5</v>
      </c>
      <c r="C13" s="74" t="s">
        <v>87</v>
      </c>
      <c r="D13" s="75" t="s">
        <v>88</v>
      </c>
      <c r="E13" s="75">
        <v>1</v>
      </c>
      <c r="F13" s="75">
        <v>1</v>
      </c>
      <c r="G13" s="76">
        <f>18790*6+18950*6</f>
        <v>226440</v>
      </c>
      <c r="H13" s="77">
        <f>G13</f>
        <v>226440</v>
      </c>
      <c r="I13" s="77">
        <v>1</v>
      </c>
      <c r="J13" s="77">
        <v>1</v>
      </c>
      <c r="K13" s="77">
        <v>1</v>
      </c>
      <c r="L13" s="78" t="s">
        <v>13</v>
      </c>
      <c r="M13" s="78" t="s">
        <v>13</v>
      </c>
      <c r="N13" s="78" t="s">
        <v>13</v>
      </c>
      <c r="O13" s="80">
        <v>16650</v>
      </c>
      <c r="P13" s="80">
        <v>17270</v>
      </c>
      <c r="Q13" s="80">
        <f>P13-O13</f>
        <v>620</v>
      </c>
      <c r="R13" s="81">
        <f>Q13*12</f>
        <v>7440</v>
      </c>
      <c r="S13" s="160" t="s">
        <v>104</v>
      </c>
      <c r="T13" s="81">
        <v>8520</v>
      </c>
      <c r="U13" s="160" t="s">
        <v>103</v>
      </c>
      <c r="V13" s="81">
        <v>8880</v>
      </c>
      <c r="W13" s="77">
        <f t="shared" si="1"/>
        <v>233880</v>
      </c>
      <c r="X13" s="77">
        <f t="shared" si="2"/>
        <v>242400</v>
      </c>
      <c r="Y13" s="77">
        <f t="shared" si="3"/>
        <v>251280</v>
      </c>
      <c r="Z13" s="75"/>
    </row>
    <row r="14" spans="1:26" ht="21" customHeight="1">
      <c r="B14" s="73">
        <v>6</v>
      </c>
      <c r="C14" s="74" t="s">
        <v>21</v>
      </c>
      <c r="D14" s="86" t="s">
        <v>89</v>
      </c>
      <c r="E14" s="75">
        <v>1</v>
      </c>
      <c r="F14" s="75">
        <v>1</v>
      </c>
      <c r="G14" s="76">
        <f>20040*6+20360*6</f>
        <v>242400</v>
      </c>
      <c r="H14" s="77">
        <f>G14</f>
        <v>242400</v>
      </c>
      <c r="I14" s="77">
        <v>1</v>
      </c>
      <c r="J14" s="77">
        <v>1</v>
      </c>
      <c r="K14" s="77">
        <v>1</v>
      </c>
      <c r="L14" s="78" t="s">
        <v>13</v>
      </c>
      <c r="M14" s="78" t="s">
        <v>13</v>
      </c>
      <c r="N14" s="78" t="s">
        <v>13</v>
      </c>
      <c r="O14" s="80">
        <v>17890</v>
      </c>
      <c r="P14" s="80">
        <v>18590</v>
      </c>
      <c r="Q14" s="80">
        <f>P14-O14</f>
        <v>700</v>
      </c>
      <c r="R14" s="81">
        <f>Q14*12</f>
        <v>8400</v>
      </c>
      <c r="S14" s="160" t="s">
        <v>105</v>
      </c>
      <c r="T14" s="81">
        <v>9720</v>
      </c>
      <c r="U14" s="160" t="s">
        <v>106</v>
      </c>
      <c r="V14" s="81">
        <v>10080</v>
      </c>
      <c r="W14" s="77">
        <f t="shared" si="1"/>
        <v>250800</v>
      </c>
      <c r="X14" s="77">
        <f t="shared" si="2"/>
        <v>260520</v>
      </c>
      <c r="Y14" s="77">
        <f t="shared" si="3"/>
        <v>270600</v>
      </c>
      <c r="Z14" s="75"/>
    </row>
    <row r="15" spans="1:26" ht="21" customHeight="1">
      <c r="B15" s="73">
        <v>7</v>
      </c>
      <c r="C15" s="74" t="s">
        <v>80</v>
      </c>
      <c r="D15" s="86" t="s">
        <v>90</v>
      </c>
      <c r="E15" s="75">
        <v>1</v>
      </c>
      <c r="F15" s="75" t="s">
        <v>13</v>
      </c>
      <c r="G15" s="76">
        <f>59970+99930</f>
        <v>159900</v>
      </c>
      <c r="H15" s="89">
        <v>0</v>
      </c>
      <c r="I15" s="77">
        <v>1</v>
      </c>
      <c r="J15" s="77">
        <v>1</v>
      </c>
      <c r="K15" s="77">
        <v>1</v>
      </c>
      <c r="L15" s="78" t="s">
        <v>13</v>
      </c>
      <c r="M15" s="78" t="s">
        <v>13</v>
      </c>
      <c r="N15" s="78" t="s">
        <v>13</v>
      </c>
      <c r="O15" s="80">
        <v>5810</v>
      </c>
      <c r="P15" s="80">
        <v>27350</v>
      </c>
      <c r="Q15" s="80">
        <f>P15+O15</f>
        <v>33160</v>
      </c>
      <c r="R15" s="81">
        <f>Q15*12/2</f>
        <v>198960</v>
      </c>
      <c r="S15" s="160" t="s">
        <v>107</v>
      </c>
      <c r="T15" s="81">
        <f>2220+3210</f>
        <v>5430</v>
      </c>
      <c r="U15" s="160"/>
      <c r="V15" s="81">
        <f>SUM(T15)</f>
        <v>5430</v>
      </c>
      <c r="W15" s="77">
        <f t="shared" si="1"/>
        <v>198960</v>
      </c>
      <c r="X15" s="77">
        <f>H15+R15+T15</f>
        <v>204390</v>
      </c>
      <c r="Y15" s="77">
        <f>H15+R15+T15+V15</f>
        <v>209820</v>
      </c>
      <c r="Z15" s="75" t="s">
        <v>79</v>
      </c>
    </row>
    <row r="16" spans="1:26" ht="22.5" customHeight="1">
      <c r="B16" s="73"/>
      <c r="C16" s="87" t="s">
        <v>24</v>
      </c>
      <c r="D16" s="88"/>
      <c r="E16" s="75"/>
      <c r="F16" s="75"/>
      <c r="G16" s="76"/>
      <c r="H16" s="88"/>
      <c r="I16" s="88"/>
      <c r="J16" s="88"/>
      <c r="K16" s="88"/>
      <c r="L16" s="75"/>
      <c r="M16" s="75"/>
      <c r="N16" s="75"/>
      <c r="O16" s="76"/>
      <c r="P16" s="76"/>
      <c r="Q16" s="76"/>
      <c r="R16" s="89"/>
      <c r="S16" s="162"/>
      <c r="T16" s="91"/>
      <c r="U16" s="176"/>
      <c r="V16" s="90"/>
      <c r="W16" s="92" t="s">
        <v>39</v>
      </c>
      <c r="X16" s="92" t="s">
        <v>39</v>
      </c>
      <c r="Y16" s="92" t="s">
        <v>19</v>
      </c>
      <c r="Z16" s="75"/>
    </row>
    <row r="17" spans="2:26" ht="22.5" customHeight="1">
      <c r="B17" s="73"/>
      <c r="C17" s="87" t="s">
        <v>25</v>
      </c>
      <c r="D17" s="88"/>
      <c r="E17" s="75"/>
      <c r="F17" s="75"/>
      <c r="G17" s="76"/>
      <c r="H17" s="88"/>
      <c r="I17" s="88"/>
      <c r="J17" s="88"/>
      <c r="K17" s="88"/>
      <c r="L17" s="75"/>
      <c r="M17" s="75"/>
      <c r="N17" s="75"/>
      <c r="O17" s="76"/>
      <c r="P17" s="76"/>
      <c r="Q17" s="76"/>
      <c r="R17" s="89"/>
      <c r="S17" s="162"/>
      <c r="T17" s="91"/>
      <c r="U17" s="176"/>
      <c r="V17" s="90"/>
      <c r="W17" s="92" t="s">
        <v>19</v>
      </c>
      <c r="X17" s="92" t="s">
        <v>19</v>
      </c>
      <c r="Y17" s="92" t="s">
        <v>19</v>
      </c>
      <c r="Z17" s="75"/>
    </row>
    <row r="18" spans="2:26" ht="21" customHeight="1">
      <c r="B18" s="73">
        <v>8</v>
      </c>
      <c r="C18" s="93" t="s">
        <v>46</v>
      </c>
      <c r="D18" s="88"/>
      <c r="E18" s="75">
        <v>1</v>
      </c>
      <c r="F18" s="75">
        <v>1</v>
      </c>
      <c r="G18" s="76" t="s">
        <v>60</v>
      </c>
      <c r="H18" s="77">
        <f>15540*12</f>
        <v>186480</v>
      </c>
      <c r="I18" s="77">
        <v>1</v>
      </c>
      <c r="J18" s="77">
        <v>1</v>
      </c>
      <c r="K18" s="77">
        <v>1</v>
      </c>
      <c r="L18" s="78" t="s">
        <v>13</v>
      </c>
      <c r="M18" s="78" t="s">
        <v>13</v>
      </c>
      <c r="N18" s="78" t="s">
        <v>13</v>
      </c>
      <c r="O18" s="239" t="s">
        <v>58</v>
      </c>
      <c r="P18" s="239"/>
      <c r="Q18" s="239"/>
      <c r="R18" s="81">
        <f>630*12</f>
        <v>7560</v>
      </c>
      <c r="S18" s="160" t="s">
        <v>59</v>
      </c>
      <c r="T18" s="81">
        <f>650*12</f>
        <v>7800</v>
      </c>
      <c r="U18" s="160" t="s">
        <v>37</v>
      </c>
      <c r="V18" s="81">
        <f>680*12</f>
        <v>8160</v>
      </c>
      <c r="W18" s="94">
        <f>H18+R18</f>
        <v>194040</v>
      </c>
      <c r="X18" s="94">
        <f t="shared" si="2"/>
        <v>201840</v>
      </c>
      <c r="Y18" s="94">
        <f t="shared" si="3"/>
        <v>210000</v>
      </c>
      <c r="Z18" s="75"/>
    </row>
    <row r="19" spans="2:26" ht="21" customHeight="1">
      <c r="B19" s="73">
        <v>9</v>
      </c>
      <c r="C19" s="74" t="s">
        <v>75</v>
      </c>
      <c r="D19" s="88"/>
      <c r="E19" s="75">
        <v>1</v>
      </c>
      <c r="F19" s="75">
        <v>1</v>
      </c>
      <c r="G19" s="76">
        <f>11500*12</f>
        <v>138000</v>
      </c>
      <c r="H19" s="77">
        <f>SUM(G19)</f>
        <v>138000</v>
      </c>
      <c r="I19" s="77">
        <v>1</v>
      </c>
      <c r="J19" s="77">
        <v>1</v>
      </c>
      <c r="K19" s="77">
        <v>1</v>
      </c>
      <c r="L19" s="78" t="s">
        <v>13</v>
      </c>
      <c r="M19" s="78" t="s">
        <v>13</v>
      </c>
      <c r="N19" s="78" t="s">
        <v>13</v>
      </c>
      <c r="O19" s="240" t="s">
        <v>61</v>
      </c>
      <c r="P19" s="240"/>
      <c r="Q19" s="240"/>
      <c r="R19" s="81">
        <f>470*12</f>
        <v>5640</v>
      </c>
      <c r="S19" s="160" t="s">
        <v>62</v>
      </c>
      <c r="T19" s="81">
        <f>490*12</f>
        <v>5880</v>
      </c>
      <c r="U19" s="160" t="s">
        <v>38</v>
      </c>
      <c r="V19" s="81">
        <f>510*12</f>
        <v>6120</v>
      </c>
      <c r="W19" s="94">
        <f>H19+R19</f>
        <v>143640</v>
      </c>
      <c r="X19" s="94">
        <f t="shared" si="2"/>
        <v>149520</v>
      </c>
      <c r="Y19" s="94">
        <f t="shared" si="3"/>
        <v>155640</v>
      </c>
      <c r="Z19" s="75"/>
    </row>
    <row r="20" spans="2:26" ht="21" customHeight="1">
      <c r="B20" s="73">
        <v>10</v>
      </c>
      <c r="C20" s="74" t="s">
        <v>47</v>
      </c>
      <c r="D20" s="88"/>
      <c r="E20" s="75">
        <v>1</v>
      </c>
      <c r="F20" s="75">
        <v>1</v>
      </c>
      <c r="G20" s="76">
        <f>10910*12</f>
        <v>130920</v>
      </c>
      <c r="H20" s="77">
        <f>SUM(G20)</f>
        <v>130920</v>
      </c>
      <c r="I20" s="77">
        <v>1</v>
      </c>
      <c r="J20" s="77">
        <v>1</v>
      </c>
      <c r="K20" s="77">
        <v>1</v>
      </c>
      <c r="L20" s="78" t="s">
        <v>13</v>
      </c>
      <c r="M20" s="78" t="s">
        <v>13</v>
      </c>
      <c r="N20" s="78" t="s">
        <v>13</v>
      </c>
      <c r="O20" s="240" t="s">
        <v>63</v>
      </c>
      <c r="P20" s="240"/>
      <c r="Q20" s="240"/>
      <c r="R20" s="81">
        <f>450*12</f>
        <v>5400</v>
      </c>
      <c r="S20" s="160" t="s">
        <v>64</v>
      </c>
      <c r="T20" s="81">
        <f>470*12</f>
        <v>5640</v>
      </c>
      <c r="U20" s="160" t="s">
        <v>38</v>
      </c>
      <c r="V20" s="81">
        <f>490*12</f>
        <v>5880</v>
      </c>
      <c r="W20" s="94">
        <f>H20+R20</f>
        <v>136320</v>
      </c>
      <c r="X20" s="94">
        <f t="shared" si="2"/>
        <v>141960</v>
      </c>
      <c r="Y20" s="94">
        <f t="shared" si="3"/>
        <v>147840</v>
      </c>
      <c r="Z20" s="75"/>
    </row>
    <row r="21" spans="2:26" ht="25.5" customHeight="1">
      <c r="B21" s="73">
        <v>11</v>
      </c>
      <c r="C21" s="74" t="s">
        <v>116</v>
      </c>
      <c r="D21" s="88"/>
      <c r="E21" s="75">
        <v>1</v>
      </c>
      <c r="F21" s="75">
        <v>1</v>
      </c>
      <c r="G21" s="76">
        <f>10910*12</f>
        <v>130920</v>
      </c>
      <c r="H21" s="77">
        <f>SUM(G21)</f>
        <v>130920</v>
      </c>
      <c r="I21" s="77">
        <v>1</v>
      </c>
      <c r="J21" s="77">
        <v>1</v>
      </c>
      <c r="K21" s="77">
        <v>1</v>
      </c>
      <c r="L21" s="78" t="s">
        <v>13</v>
      </c>
      <c r="M21" s="78" t="s">
        <v>13</v>
      </c>
      <c r="N21" s="78" t="s">
        <v>13</v>
      </c>
      <c r="O21" s="240" t="s">
        <v>63</v>
      </c>
      <c r="P21" s="240"/>
      <c r="Q21" s="240"/>
      <c r="R21" s="81">
        <f>450*12</f>
        <v>5400</v>
      </c>
      <c r="S21" s="160" t="s">
        <v>64</v>
      </c>
      <c r="T21" s="81">
        <f>470*12</f>
        <v>5640</v>
      </c>
      <c r="U21" s="160" t="s">
        <v>38</v>
      </c>
      <c r="V21" s="81">
        <f>490*12</f>
        <v>5880</v>
      </c>
      <c r="W21" s="94">
        <f t="shared" ref="W21" si="4">H21+R21</f>
        <v>136320</v>
      </c>
      <c r="X21" s="94">
        <f t="shared" ref="X21" si="5">H21+R21+T21</f>
        <v>141960</v>
      </c>
      <c r="Y21" s="94">
        <f t="shared" ref="Y21" si="6">H21+R21+T21+V21</f>
        <v>147840</v>
      </c>
      <c r="Z21" s="75"/>
    </row>
    <row r="22" spans="2:26" ht="22.5" customHeight="1">
      <c r="B22" s="73"/>
      <c r="C22" s="87" t="s">
        <v>26</v>
      </c>
      <c r="D22" s="88"/>
      <c r="E22" s="75"/>
      <c r="F22" s="75"/>
      <c r="G22" s="76"/>
      <c r="H22" s="77"/>
      <c r="I22" s="77"/>
      <c r="J22" s="77"/>
      <c r="K22" s="77"/>
      <c r="L22" s="78"/>
      <c r="M22" s="78"/>
      <c r="N22" s="78"/>
      <c r="O22" s="80"/>
      <c r="P22" s="80"/>
      <c r="Q22" s="80"/>
      <c r="R22" s="81"/>
      <c r="S22" s="160"/>
      <c r="T22" s="81"/>
      <c r="U22" s="160"/>
      <c r="V22" s="81"/>
      <c r="W22" s="94" t="s">
        <v>19</v>
      </c>
      <c r="X22" s="94" t="s">
        <v>19</v>
      </c>
      <c r="Y22" s="94" t="s">
        <v>19</v>
      </c>
      <c r="Z22" s="75"/>
    </row>
    <row r="23" spans="2:26" ht="22.5" customHeight="1" thickBot="1">
      <c r="B23" s="95">
        <v>12</v>
      </c>
      <c r="C23" s="96" t="s">
        <v>48</v>
      </c>
      <c r="D23" s="97"/>
      <c r="E23" s="98">
        <v>1</v>
      </c>
      <c r="F23" s="98">
        <v>1</v>
      </c>
      <c r="G23" s="99">
        <f>10860*12</f>
        <v>130320</v>
      </c>
      <c r="H23" s="100">
        <f>SUM(G23)</f>
        <v>130320</v>
      </c>
      <c r="I23" s="100">
        <v>1</v>
      </c>
      <c r="J23" s="100">
        <v>1</v>
      </c>
      <c r="K23" s="100">
        <v>1</v>
      </c>
      <c r="L23" s="101" t="s">
        <v>13</v>
      </c>
      <c r="M23" s="101" t="s">
        <v>13</v>
      </c>
      <c r="N23" s="101" t="s">
        <v>13</v>
      </c>
      <c r="O23" s="246" t="s">
        <v>63</v>
      </c>
      <c r="P23" s="246"/>
      <c r="Q23" s="246"/>
      <c r="R23" s="102">
        <f>450*12</f>
        <v>5400</v>
      </c>
      <c r="S23" s="163" t="s">
        <v>64</v>
      </c>
      <c r="T23" s="102">
        <f>470*12</f>
        <v>5640</v>
      </c>
      <c r="U23" s="163" t="s">
        <v>38</v>
      </c>
      <c r="V23" s="102">
        <f>490*12</f>
        <v>5880</v>
      </c>
      <c r="W23" s="103">
        <f t="shared" ref="W23" si="7">H23+R23</f>
        <v>135720</v>
      </c>
      <c r="X23" s="103">
        <f t="shared" ref="X23" si="8">H23+R23+T23</f>
        <v>141360</v>
      </c>
      <c r="Y23" s="103">
        <f t="shared" ref="Y23" si="9">H23+R23+T23+V23</f>
        <v>147240</v>
      </c>
      <c r="Z23" s="98"/>
    </row>
    <row r="24" spans="2:26" ht="22.5" customHeight="1">
      <c r="B24" s="57"/>
      <c r="C24" s="60"/>
      <c r="D24" s="13"/>
      <c r="E24" s="12"/>
      <c r="F24" s="12"/>
      <c r="G24" s="14"/>
      <c r="H24" s="2"/>
      <c r="I24" s="2"/>
      <c r="J24" s="2"/>
      <c r="K24" s="2"/>
      <c r="L24" s="44"/>
      <c r="M24" s="44"/>
      <c r="N24" s="44"/>
      <c r="O24" s="32"/>
      <c r="P24" s="32"/>
      <c r="Q24" s="32"/>
      <c r="R24" s="15"/>
      <c r="S24" s="164"/>
      <c r="T24" s="15"/>
      <c r="U24" s="164"/>
      <c r="V24" s="15"/>
      <c r="W24" s="47"/>
      <c r="X24" s="47"/>
      <c r="Y24" s="47"/>
      <c r="Z24" s="12"/>
    </row>
    <row r="25" spans="2:26" ht="22.5" customHeight="1">
      <c r="B25" s="57"/>
      <c r="C25" s="60"/>
      <c r="D25" s="13"/>
      <c r="E25" s="12"/>
      <c r="F25" s="12"/>
      <c r="G25" s="14"/>
      <c r="H25" s="2"/>
      <c r="I25" s="2"/>
      <c r="J25" s="2"/>
      <c r="K25" s="2"/>
      <c r="L25" s="44"/>
      <c r="M25" s="44"/>
      <c r="N25" s="44"/>
      <c r="O25" s="32"/>
      <c r="P25" s="32"/>
      <c r="Q25" s="32"/>
      <c r="R25" s="15"/>
      <c r="S25" s="164"/>
      <c r="T25" s="15"/>
      <c r="U25" s="164"/>
      <c r="V25" s="15"/>
      <c r="W25" s="47"/>
      <c r="X25" s="47"/>
      <c r="Y25" s="47"/>
      <c r="Z25" s="12"/>
    </row>
    <row r="26" spans="2:26" ht="22.5" customHeight="1">
      <c r="B26" s="57"/>
      <c r="C26" s="60"/>
      <c r="D26" s="13"/>
      <c r="E26" s="12"/>
      <c r="F26" s="12"/>
      <c r="G26" s="14"/>
      <c r="H26" s="2"/>
      <c r="I26" s="2"/>
      <c r="J26" s="2"/>
      <c r="K26" s="2"/>
      <c r="L26" s="44"/>
      <c r="M26" s="44"/>
      <c r="N26" s="44"/>
      <c r="O26" s="32"/>
      <c r="P26" s="32"/>
      <c r="Q26" s="32"/>
      <c r="R26" s="15"/>
      <c r="S26" s="164"/>
      <c r="T26" s="15"/>
      <c r="U26" s="164"/>
      <c r="V26" s="15"/>
      <c r="W26" s="47"/>
      <c r="X26" s="47"/>
      <c r="Y26" s="47"/>
      <c r="Z26" s="12"/>
    </row>
    <row r="27" spans="2:26" ht="22.5" customHeight="1">
      <c r="B27" s="57"/>
      <c r="C27" s="60"/>
      <c r="D27" s="13"/>
      <c r="E27" s="12"/>
      <c r="F27" s="12"/>
      <c r="G27" s="14"/>
      <c r="H27" s="2"/>
      <c r="I27" s="2"/>
      <c r="J27" s="2"/>
      <c r="K27" s="2"/>
      <c r="L27" s="44"/>
      <c r="M27" s="44"/>
      <c r="N27" s="44"/>
      <c r="O27" s="32"/>
      <c r="P27" s="32"/>
      <c r="Q27" s="32"/>
      <c r="R27" s="15"/>
      <c r="S27" s="164"/>
      <c r="T27" s="15"/>
      <c r="U27" s="164"/>
      <c r="V27" s="15"/>
      <c r="W27" s="47"/>
      <c r="X27" s="47"/>
      <c r="Y27" s="47"/>
      <c r="Z27" s="12"/>
    </row>
    <row r="28" spans="2:26" ht="22.5" customHeight="1">
      <c r="B28" s="57"/>
      <c r="C28" s="60"/>
      <c r="D28" s="13"/>
      <c r="E28" s="12"/>
      <c r="F28" s="12"/>
      <c r="G28" s="14"/>
      <c r="H28" s="2"/>
      <c r="I28" s="2"/>
      <c r="J28" s="2"/>
      <c r="K28" s="2"/>
      <c r="L28" s="44"/>
      <c r="M28" s="44"/>
      <c r="N28" s="44"/>
      <c r="O28" s="32"/>
      <c r="P28" s="32"/>
      <c r="Q28" s="32"/>
      <c r="R28" s="15"/>
      <c r="S28" s="164"/>
      <c r="T28" s="15"/>
      <c r="U28" s="164"/>
      <c r="V28" s="15"/>
      <c r="W28" s="47"/>
      <c r="X28" s="47"/>
      <c r="Y28" s="47"/>
      <c r="Z28" s="12"/>
    </row>
    <row r="29" spans="2:26" ht="47.25" customHeight="1">
      <c r="B29" s="57"/>
      <c r="C29" s="60"/>
      <c r="D29" s="13"/>
      <c r="E29" s="12"/>
      <c r="F29" s="12"/>
      <c r="G29" s="14"/>
      <c r="H29" s="2"/>
      <c r="I29" s="2"/>
      <c r="J29" s="2"/>
      <c r="K29" s="2"/>
      <c r="L29" s="44"/>
      <c r="M29" s="44"/>
      <c r="N29" s="44"/>
      <c r="O29" s="32"/>
      <c r="P29" s="32"/>
      <c r="Q29" s="32"/>
      <c r="R29" s="15"/>
      <c r="S29" s="164"/>
      <c r="T29" s="15"/>
      <c r="U29" s="164"/>
      <c r="V29" s="15"/>
      <c r="W29" s="47"/>
      <c r="X29" s="47"/>
      <c r="Y29" s="47"/>
      <c r="Z29" s="12"/>
    </row>
    <row r="30" spans="2:26" s="18" customFormat="1" ht="24.75" customHeight="1" thickBot="1">
      <c r="B30" s="57"/>
      <c r="C30" s="60"/>
      <c r="D30" s="13"/>
      <c r="E30" s="12"/>
      <c r="F30" s="12"/>
      <c r="G30" s="14"/>
      <c r="H30" s="2"/>
      <c r="I30" s="13"/>
      <c r="J30" s="13"/>
      <c r="K30" s="13"/>
      <c r="L30" s="12"/>
      <c r="M30" s="12"/>
      <c r="N30" s="12"/>
      <c r="O30" s="14"/>
      <c r="P30" s="14"/>
      <c r="Q30" s="14"/>
      <c r="R30" s="15"/>
      <c r="S30" s="165"/>
      <c r="T30" s="15"/>
      <c r="U30" s="165"/>
      <c r="V30" s="16"/>
      <c r="W30" s="17"/>
      <c r="X30" s="17"/>
      <c r="Y30" s="17"/>
      <c r="Z30" s="56">
        <v>20</v>
      </c>
    </row>
    <row r="31" spans="2:26" s="35" customFormat="1" ht="30.75" customHeight="1">
      <c r="B31" s="190" t="s">
        <v>72</v>
      </c>
      <c r="C31" s="208" t="s">
        <v>0</v>
      </c>
      <c r="D31" s="190" t="s">
        <v>1</v>
      </c>
      <c r="E31" s="190" t="s">
        <v>2</v>
      </c>
      <c r="F31" s="211" t="s">
        <v>3</v>
      </c>
      <c r="G31" s="212"/>
      <c r="H31" s="213"/>
      <c r="I31" s="220" t="s">
        <v>4</v>
      </c>
      <c r="J31" s="221"/>
      <c r="K31" s="222"/>
      <c r="L31" s="229" t="s">
        <v>5</v>
      </c>
      <c r="M31" s="230"/>
      <c r="N31" s="231"/>
      <c r="O31" s="34"/>
      <c r="P31" s="34"/>
      <c r="Q31" s="34"/>
      <c r="R31" s="232" t="s">
        <v>7</v>
      </c>
      <c r="S31" s="233"/>
      <c r="T31" s="233"/>
      <c r="U31" s="233"/>
      <c r="V31" s="234"/>
      <c r="W31" s="211" t="s">
        <v>9</v>
      </c>
      <c r="X31" s="212"/>
      <c r="Y31" s="213"/>
      <c r="Z31" s="190" t="s">
        <v>10</v>
      </c>
    </row>
    <row r="32" spans="2:26" s="35" customFormat="1" ht="30.75" customHeight="1">
      <c r="B32" s="191"/>
      <c r="C32" s="209"/>
      <c r="D32" s="191"/>
      <c r="E32" s="191"/>
      <c r="F32" s="214"/>
      <c r="G32" s="215"/>
      <c r="H32" s="216"/>
      <c r="I32" s="223"/>
      <c r="J32" s="224"/>
      <c r="K32" s="225"/>
      <c r="L32" s="193" t="s">
        <v>6</v>
      </c>
      <c r="M32" s="194"/>
      <c r="N32" s="195"/>
      <c r="O32" s="36"/>
      <c r="P32" s="36"/>
      <c r="Q32" s="36"/>
      <c r="R32" s="196" t="s">
        <v>8</v>
      </c>
      <c r="S32" s="197"/>
      <c r="T32" s="198"/>
      <c r="U32" s="198"/>
      <c r="V32" s="199"/>
      <c r="W32" s="214"/>
      <c r="X32" s="215"/>
      <c r="Y32" s="216"/>
      <c r="Z32" s="191"/>
    </row>
    <row r="33" spans="2:26" s="35" customFormat="1" ht="30.75" customHeight="1" thickBot="1">
      <c r="B33" s="191"/>
      <c r="C33" s="209"/>
      <c r="D33" s="191"/>
      <c r="E33" s="191"/>
      <c r="F33" s="217"/>
      <c r="G33" s="218"/>
      <c r="H33" s="219"/>
      <c r="I33" s="226"/>
      <c r="J33" s="227"/>
      <c r="K33" s="228"/>
      <c r="L33" s="200"/>
      <c r="M33" s="201"/>
      <c r="N33" s="202"/>
      <c r="O33" s="37"/>
      <c r="P33" s="37"/>
      <c r="Q33" s="37"/>
      <c r="R33" s="203"/>
      <c r="S33" s="204"/>
      <c r="T33" s="204"/>
      <c r="U33" s="204"/>
      <c r="V33" s="205"/>
      <c r="W33" s="217"/>
      <c r="X33" s="218"/>
      <c r="Y33" s="219"/>
      <c r="Z33" s="191"/>
    </row>
    <row r="34" spans="2:26" s="35" customFormat="1" ht="29.25" customHeight="1">
      <c r="B34" s="191"/>
      <c r="C34" s="209"/>
      <c r="D34" s="191"/>
      <c r="E34" s="191"/>
      <c r="F34" s="38" t="s">
        <v>11</v>
      </c>
      <c r="G34" s="39"/>
      <c r="H34" s="190" t="s">
        <v>45</v>
      </c>
      <c r="I34" s="235">
        <v>2558</v>
      </c>
      <c r="J34" s="235">
        <v>2559</v>
      </c>
      <c r="K34" s="235">
        <v>2560</v>
      </c>
      <c r="L34" s="190">
        <v>2558</v>
      </c>
      <c r="M34" s="190">
        <v>2559</v>
      </c>
      <c r="N34" s="190">
        <v>2560</v>
      </c>
      <c r="O34" s="40" t="s">
        <v>22</v>
      </c>
      <c r="P34" s="40" t="s">
        <v>23</v>
      </c>
      <c r="Q34" s="40"/>
      <c r="R34" s="190">
        <v>2558</v>
      </c>
      <c r="S34" s="157"/>
      <c r="T34" s="206">
        <v>2559</v>
      </c>
      <c r="U34" s="157"/>
      <c r="V34" s="206">
        <v>2560</v>
      </c>
      <c r="W34" s="190">
        <v>2558</v>
      </c>
      <c r="X34" s="190">
        <v>2559</v>
      </c>
      <c r="Y34" s="190">
        <v>2560</v>
      </c>
      <c r="Z34" s="191"/>
    </row>
    <row r="35" spans="2:26" s="35" customFormat="1" ht="20.25" thickBot="1">
      <c r="B35" s="192"/>
      <c r="C35" s="210"/>
      <c r="D35" s="192"/>
      <c r="E35" s="192"/>
      <c r="F35" s="41" t="s">
        <v>12</v>
      </c>
      <c r="G35" s="42"/>
      <c r="H35" s="192"/>
      <c r="I35" s="236"/>
      <c r="J35" s="236"/>
      <c r="K35" s="236"/>
      <c r="L35" s="192"/>
      <c r="M35" s="192"/>
      <c r="N35" s="192"/>
      <c r="O35" s="43"/>
      <c r="P35" s="43"/>
      <c r="Q35" s="43"/>
      <c r="R35" s="192"/>
      <c r="S35" s="158"/>
      <c r="T35" s="207"/>
      <c r="U35" s="158"/>
      <c r="V35" s="207"/>
      <c r="W35" s="192"/>
      <c r="X35" s="192"/>
      <c r="Y35" s="192"/>
      <c r="Z35" s="192"/>
    </row>
    <row r="36" spans="2:26" ht="22.5" customHeight="1">
      <c r="B36" s="64"/>
      <c r="C36" s="104" t="s">
        <v>27</v>
      </c>
      <c r="D36" s="105"/>
      <c r="E36" s="66"/>
      <c r="F36" s="66"/>
      <c r="G36" s="67"/>
      <c r="H36" s="106"/>
      <c r="I36" s="105"/>
      <c r="J36" s="105"/>
      <c r="K36" s="105"/>
      <c r="L36" s="107"/>
      <c r="M36" s="66"/>
      <c r="N36" s="66"/>
      <c r="O36" s="67"/>
      <c r="P36" s="67"/>
      <c r="Q36" s="67"/>
      <c r="R36" s="71"/>
      <c r="S36" s="166"/>
      <c r="T36" s="108"/>
      <c r="U36" s="166"/>
      <c r="V36" s="108"/>
      <c r="W36" s="109" t="s">
        <v>19</v>
      </c>
      <c r="X36" s="109" t="s">
        <v>19</v>
      </c>
      <c r="Y36" s="109" t="s">
        <v>19</v>
      </c>
      <c r="Z36" s="66"/>
    </row>
    <row r="37" spans="2:26" ht="22.5" customHeight="1">
      <c r="B37" s="73">
        <v>13</v>
      </c>
      <c r="C37" s="74" t="s">
        <v>28</v>
      </c>
      <c r="D37" s="88"/>
      <c r="E37" s="75">
        <v>1</v>
      </c>
      <c r="F37" s="75">
        <v>1</v>
      </c>
      <c r="G37" s="76">
        <f>9000*12</f>
        <v>108000</v>
      </c>
      <c r="H37" s="78">
        <f>SUM(G37)</f>
        <v>108000</v>
      </c>
      <c r="I37" s="77">
        <v>1</v>
      </c>
      <c r="J37" s="77">
        <v>1</v>
      </c>
      <c r="K37" s="77">
        <v>1</v>
      </c>
      <c r="L37" s="110" t="s">
        <v>13</v>
      </c>
      <c r="M37" s="78" t="s">
        <v>13</v>
      </c>
      <c r="N37" s="78" t="s">
        <v>13</v>
      </c>
      <c r="O37" s="240" t="s">
        <v>34</v>
      </c>
      <c r="P37" s="241"/>
      <c r="Q37" s="241"/>
      <c r="R37" s="111" t="s">
        <v>13</v>
      </c>
      <c r="S37" s="167" t="s">
        <v>35</v>
      </c>
      <c r="T37" s="111" t="s">
        <v>13</v>
      </c>
      <c r="U37" s="167" t="s">
        <v>36</v>
      </c>
      <c r="V37" s="111" t="s">
        <v>13</v>
      </c>
      <c r="W37" s="78">
        <f>SUM(H37)</f>
        <v>108000</v>
      </c>
      <c r="X37" s="78">
        <f>SUM(H37)</f>
        <v>108000</v>
      </c>
      <c r="Y37" s="78">
        <f>SUM(H37)</f>
        <v>108000</v>
      </c>
      <c r="Z37" s="75"/>
    </row>
    <row r="38" spans="2:26" ht="22.5" customHeight="1">
      <c r="B38" s="73"/>
      <c r="C38" s="112" t="s">
        <v>74</v>
      </c>
      <c r="D38" s="88"/>
      <c r="E38" s="75"/>
      <c r="F38" s="75"/>
      <c r="G38" s="76"/>
      <c r="H38" s="78"/>
      <c r="I38" s="77"/>
      <c r="J38" s="77"/>
      <c r="K38" s="77"/>
      <c r="L38" s="110"/>
      <c r="M38" s="78"/>
      <c r="N38" s="78"/>
      <c r="O38" s="80"/>
      <c r="P38" s="80"/>
      <c r="Q38" s="80"/>
      <c r="R38" s="111" t="s">
        <v>13</v>
      </c>
      <c r="S38" s="167"/>
      <c r="T38" s="111"/>
      <c r="U38" s="167"/>
      <c r="V38" s="111"/>
      <c r="W38" s="78" t="s">
        <v>19</v>
      </c>
      <c r="X38" s="78" t="s">
        <v>19</v>
      </c>
      <c r="Y38" s="78" t="s">
        <v>19</v>
      </c>
      <c r="Z38" s="75"/>
    </row>
    <row r="39" spans="2:26" ht="22.5" customHeight="1">
      <c r="B39" s="73">
        <v>14</v>
      </c>
      <c r="C39" s="93" t="s">
        <v>125</v>
      </c>
      <c r="D39" s="75" t="s">
        <v>86</v>
      </c>
      <c r="E39" s="75">
        <v>1</v>
      </c>
      <c r="F39" s="75">
        <v>1</v>
      </c>
      <c r="G39" s="76">
        <f>27480*12+3500*12</f>
        <v>371760</v>
      </c>
      <c r="H39" s="78">
        <f>G39</f>
        <v>371760</v>
      </c>
      <c r="I39" s="77">
        <v>1</v>
      </c>
      <c r="J39" s="77">
        <v>1</v>
      </c>
      <c r="K39" s="77">
        <v>1</v>
      </c>
      <c r="L39" s="113" t="s">
        <v>13</v>
      </c>
      <c r="M39" s="78" t="s">
        <v>13</v>
      </c>
      <c r="N39" s="78" t="s">
        <v>13</v>
      </c>
      <c r="O39" s="80" t="s">
        <v>19</v>
      </c>
      <c r="P39" s="80" t="s">
        <v>71</v>
      </c>
      <c r="Q39" s="80">
        <v>880</v>
      </c>
      <c r="R39" s="111">
        <f>Q39*12</f>
        <v>10560</v>
      </c>
      <c r="S39" s="167" t="s">
        <v>108</v>
      </c>
      <c r="T39" s="111">
        <v>12600</v>
      </c>
      <c r="U39" s="167" t="s">
        <v>103</v>
      </c>
      <c r="V39" s="111">
        <v>12960</v>
      </c>
      <c r="W39" s="78">
        <f t="shared" ref="W39" si="10">H39+R39</f>
        <v>382320</v>
      </c>
      <c r="X39" s="78">
        <f t="shared" ref="X39" si="11">H39+R39+T39</f>
        <v>394920</v>
      </c>
      <c r="Y39" s="78">
        <f t="shared" ref="Y39" si="12">H39+R39+T39+V39</f>
        <v>407880</v>
      </c>
      <c r="Z39" s="75"/>
    </row>
    <row r="40" spans="2:26" s="19" customFormat="1" ht="22.5" customHeight="1">
      <c r="B40" s="114">
        <v>15</v>
      </c>
      <c r="C40" s="115" t="s">
        <v>49</v>
      </c>
      <c r="D40" s="116" t="s">
        <v>88</v>
      </c>
      <c r="E40" s="116">
        <v>1</v>
      </c>
      <c r="F40" s="116">
        <v>1</v>
      </c>
      <c r="G40" s="116">
        <f>21500*12</f>
        <v>258000</v>
      </c>
      <c r="H40" s="117">
        <f>G40</f>
        <v>258000</v>
      </c>
      <c r="I40" s="185">
        <v>1</v>
      </c>
      <c r="J40" s="185">
        <v>1</v>
      </c>
      <c r="K40" s="185">
        <v>1</v>
      </c>
      <c r="L40" s="117" t="s">
        <v>13</v>
      </c>
      <c r="M40" s="117" t="s">
        <v>13</v>
      </c>
      <c r="N40" s="117" t="s">
        <v>13</v>
      </c>
      <c r="O40" s="118"/>
      <c r="P40" s="117" t="s">
        <v>57</v>
      </c>
      <c r="Q40" s="117">
        <v>600</v>
      </c>
      <c r="R40" s="119">
        <f>Q40*12</f>
        <v>7200</v>
      </c>
      <c r="S40" s="167" t="s">
        <v>109</v>
      </c>
      <c r="T40" s="119">
        <v>8880</v>
      </c>
      <c r="U40" s="167" t="s">
        <v>110</v>
      </c>
      <c r="V40" s="119">
        <f>720*12</f>
        <v>8640</v>
      </c>
      <c r="W40" s="117">
        <f t="shared" si="1"/>
        <v>265200</v>
      </c>
      <c r="X40" s="117">
        <f t="shared" si="2"/>
        <v>274080</v>
      </c>
      <c r="Y40" s="117">
        <f t="shared" si="3"/>
        <v>282720</v>
      </c>
      <c r="Z40" s="120"/>
    </row>
    <row r="41" spans="2:26" s="1" customFormat="1" ht="22.5" customHeight="1">
      <c r="B41" s="73">
        <v>16</v>
      </c>
      <c r="C41" s="93" t="s">
        <v>82</v>
      </c>
      <c r="D41" s="121" t="s">
        <v>90</v>
      </c>
      <c r="E41" s="75">
        <v>1</v>
      </c>
      <c r="F41" s="75" t="s">
        <v>13</v>
      </c>
      <c r="G41" s="76">
        <f>59970+99930</f>
        <v>159900</v>
      </c>
      <c r="H41" s="111">
        <v>0</v>
      </c>
      <c r="I41" s="77">
        <v>1</v>
      </c>
      <c r="J41" s="77">
        <v>1</v>
      </c>
      <c r="K41" s="77">
        <v>1</v>
      </c>
      <c r="L41" s="117" t="s">
        <v>13</v>
      </c>
      <c r="M41" s="117" t="s">
        <v>13</v>
      </c>
      <c r="N41" s="117" t="s">
        <v>13</v>
      </c>
      <c r="O41" s="80">
        <v>5810</v>
      </c>
      <c r="P41" s="80">
        <v>27350</v>
      </c>
      <c r="Q41" s="80">
        <f>P41+O41</f>
        <v>33160</v>
      </c>
      <c r="R41" s="111">
        <f>Q41*12/2</f>
        <v>198960</v>
      </c>
      <c r="S41" s="167" t="s">
        <v>31</v>
      </c>
      <c r="T41" s="81">
        <f>2220+3210</f>
        <v>5430</v>
      </c>
      <c r="U41" s="160"/>
      <c r="V41" s="81">
        <f>SUM(T41)</f>
        <v>5430</v>
      </c>
      <c r="W41" s="78">
        <f t="shared" si="1"/>
        <v>198960</v>
      </c>
      <c r="X41" s="78">
        <f>H41+R41+T41</f>
        <v>204390</v>
      </c>
      <c r="Y41" s="78">
        <f t="shared" si="3"/>
        <v>209820</v>
      </c>
      <c r="Z41" s="75" t="s">
        <v>79</v>
      </c>
    </row>
    <row r="42" spans="2:26" ht="22.5" customHeight="1">
      <c r="B42" s="114">
        <v>17</v>
      </c>
      <c r="C42" s="93" t="s">
        <v>83</v>
      </c>
      <c r="D42" s="121" t="s">
        <v>90</v>
      </c>
      <c r="E42" s="75">
        <v>1</v>
      </c>
      <c r="F42" s="75" t="s">
        <v>13</v>
      </c>
      <c r="G42" s="76">
        <f>59970+99930</f>
        <v>159900</v>
      </c>
      <c r="H42" s="111">
        <v>0</v>
      </c>
      <c r="I42" s="77">
        <v>1</v>
      </c>
      <c r="J42" s="77">
        <v>1</v>
      </c>
      <c r="K42" s="77">
        <v>1</v>
      </c>
      <c r="L42" s="117" t="s">
        <v>13</v>
      </c>
      <c r="M42" s="117" t="s">
        <v>13</v>
      </c>
      <c r="N42" s="117" t="s">
        <v>13</v>
      </c>
      <c r="O42" s="80">
        <v>5810</v>
      </c>
      <c r="P42" s="80">
        <v>27350</v>
      </c>
      <c r="Q42" s="80">
        <f>P42+O42</f>
        <v>33160</v>
      </c>
      <c r="R42" s="111">
        <f>Q42*12/2</f>
        <v>198960</v>
      </c>
      <c r="S42" s="167" t="s">
        <v>31</v>
      </c>
      <c r="T42" s="81">
        <f>2220+3210</f>
        <v>5430</v>
      </c>
      <c r="U42" s="160"/>
      <c r="V42" s="81">
        <f>SUM(T42)</f>
        <v>5430</v>
      </c>
      <c r="W42" s="78">
        <f t="shared" si="1"/>
        <v>198960</v>
      </c>
      <c r="X42" s="78">
        <f>H42+R42+T42</f>
        <v>204390</v>
      </c>
      <c r="Y42" s="78">
        <f t="shared" si="3"/>
        <v>209820</v>
      </c>
      <c r="Z42" s="75" t="s">
        <v>79</v>
      </c>
    </row>
    <row r="43" spans="2:26" ht="22.5" customHeight="1">
      <c r="B43" s="73">
        <v>18</v>
      </c>
      <c r="C43" s="93" t="s">
        <v>84</v>
      </c>
      <c r="D43" s="121" t="s">
        <v>90</v>
      </c>
      <c r="E43" s="75">
        <v>1</v>
      </c>
      <c r="F43" s="75" t="s">
        <v>13</v>
      </c>
      <c r="G43" s="76">
        <v>0</v>
      </c>
      <c r="H43" s="111">
        <f>SUM(G43)</f>
        <v>0</v>
      </c>
      <c r="I43" s="77">
        <v>1</v>
      </c>
      <c r="J43" s="77">
        <v>1</v>
      </c>
      <c r="K43" s="77">
        <v>1</v>
      </c>
      <c r="L43" s="113" t="s">
        <v>70</v>
      </c>
      <c r="M43" s="117" t="s">
        <v>13</v>
      </c>
      <c r="N43" s="117" t="s">
        <v>13</v>
      </c>
      <c r="O43" s="80">
        <v>5810</v>
      </c>
      <c r="P43" s="80">
        <v>27350</v>
      </c>
      <c r="Q43" s="80">
        <f>P43+O43</f>
        <v>33160</v>
      </c>
      <c r="R43" s="111">
        <f>Q43*12/2</f>
        <v>198960</v>
      </c>
      <c r="S43" s="167" t="s">
        <v>111</v>
      </c>
      <c r="T43" s="81">
        <f>2220+3210</f>
        <v>5430</v>
      </c>
      <c r="U43" s="167" t="s">
        <v>112</v>
      </c>
      <c r="V43" s="81">
        <f>SUM(T43)</f>
        <v>5430</v>
      </c>
      <c r="W43" s="78">
        <f t="shared" si="1"/>
        <v>198960</v>
      </c>
      <c r="X43" s="78">
        <f>H43+R43+T43</f>
        <v>204390</v>
      </c>
      <c r="Y43" s="78">
        <f>H43+R43+T43+V43</f>
        <v>209820</v>
      </c>
      <c r="Z43" s="75" t="s">
        <v>55</v>
      </c>
    </row>
    <row r="44" spans="2:26" ht="22.5" customHeight="1">
      <c r="B44" s="73"/>
      <c r="C44" s="87" t="s">
        <v>29</v>
      </c>
      <c r="D44" s="88"/>
      <c r="E44" s="75"/>
      <c r="F44" s="75"/>
      <c r="G44" s="76"/>
      <c r="H44" s="111"/>
      <c r="I44" s="77"/>
      <c r="J44" s="77"/>
      <c r="K44" s="77"/>
      <c r="L44" s="110"/>
      <c r="M44" s="78"/>
      <c r="N44" s="78"/>
      <c r="O44" s="80"/>
      <c r="P44" s="80"/>
      <c r="Q44" s="80"/>
      <c r="R44" s="111"/>
      <c r="S44" s="167"/>
      <c r="T44" s="111"/>
      <c r="U44" s="167"/>
      <c r="V44" s="111"/>
      <c r="W44" s="78" t="s">
        <v>19</v>
      </c>
      <c r="X44" s="78" t="s">
        <v>19</v>
      </c>
      <c r="Y44" s="78" t="s">
        <v>19</v>
      </c>
      <c r="Z44" s="75"/>
    </row>
    <row r="45" spans="2:26" ht="22.5" customHeight="1">
      <c r="B45" s="73"/>
      <c r="C45" s="87" t="s">
        <v>25</v>
      </c>
      <c r="D45" s="88"/>
      <c r="E45" s="75"/>
      <c r="F45" s="75"/>
      <c r="G45" s="76"/>
      <c r="H45" s="78"/>
      <c r="I45" s="77"/>
      <c r="J45" s="77"/>
      <c r="K45" s="77"/>
      <c r="L45" s="110"/>
      <c r="M45" s="78"/>
      <c r="N45" s="78"/>
      <c r="O45" s="80"/>
      <c r="P45" s="80"/>
      <c r="Q45" s="80"/>
      <c r="R45" s="111"/>
      <c r="S45" s="167"/>
      <c r="T45" s="111"/>
      <c r="U45" s="167"/>
      <c r="V45" s="111"/>
      <c r="W45" s="78" t="s">
        <v>19</v>
      </c>
      <c r="X45" s="78" t="s">
        <v>19</v>
      </c>
      <c r="Y45" s="78" t="s">
        <v>19</v>
      </c>
      <c r="Z45" s="75"/>
    </row>
    <row r="46" spans="2:26" ht="22.5" customHeight="1">
      <c r="B46" s="73">
        <v>19</v>
      </c>
      <c r="C46" s="74" t="s">
        <v>50</v>
      </c>
      <c r="D46" s="88"/>
      <c r="E46" s="75">
        <v>1</v>
      </c>
      <c r="F46" s="75">
        <v>1</v>
      </c>
      <c r="G46" s="76">
        <f>13150*12</f>
        <v>157800</v>
      </c>
      <c r="H46" s="78">
        <f>SUM(G46)</f>
        <v>157800</v>
      </c>
      <c r="I46" s="77">
        <v>1</v>
      </c>
      <c r="J46" s="77">
        <v>1</v>
      </c>
      <c r="K46" s="77">
        <v>1</v>
      </c>
      <c r="L46" s="110" t="s">
        <v>13</v>
      </c>
      <c r="M46" s="78" t="s">
        <v>13</v>
      </c>
      <c r="N46" s="78" t="s">
        <v>13</v>
      </c>
      <c r="O46" s="80">
        <f>9910+1650</f>
        <v>11560</v>
      </c>
      <c r="P46" s="80">
        <f>O46*4%</f>
        <v>462.40000000000003</v>
      </c>
      <c r="Q46" s="80" t="s">
        <v>65</v>
      </c>
      <c r="R46" s="111">
        <f>530*12</f>
        <v>6360</v>
      </c>
      <c r="S46" s="167" t="s">
        <v>66</v>
      </c>
      <c r="T46" s="111">
        <f>550*12</f>
        <v>6600</v>
      </c>
      <c r="U46" s="167" t="s">
        <v>33</v>
      </c>
      <c r="V46" s="111">
        <f>570*12</f>
        <v>6840</v>
      </c>
      <c r="W46" s="78">
        <f t="shared" si="1"/>
        <v>164160</v>
      </c>
      <c r="X46" s="78">
        <f t="shared" si="2"/>
        <v>170760</v>
      </c>
      <c r="Y46" s="78">
        <f t="shared" si="3"/>
        <v>177600</v>
      </c>
      <c r="Z46" s="75"/>
    </row>
    <row r="47" spans="2:26" ht="22.5" customHeight="1">
      <c r="B47" s="73">
        <v>20</v>
      </c>
      <c r="C47" s="74" t="s">
        <v>76</v>
      </c>
      <c r="D47" s="88"/>
      <c r="E47" s="75">
        <v>1</v>
      </c>
      <c r="F47" s="75">
        <v>1</v>
      </c>
      <c r="G47" s="76"/>
      <c r="H47" s="148">
        <f>9400*12</f>
        <v>112800</v>
      </c>
      <c r="I47" s="77">
        <v>1</v>
      </c>
      <c r="J47" s="77">
        <v>1</v>
      </c>
      <c r="K47" s="77">
        <v>1</v>
      </c>
      <c r="L47" s="110" t="s">
        <v>13</v>
      </c>
      <c r="M47" s="148" t="s">
        <v>13</v>
      </c>
      <c r="N47" s="148" t="s">
        <v>13</v>
      </c>
      <c r="O47" s="240"/>
      <c r="P47" s="240"/>
      <c r="Q47" s="240"/>
      <c r="R47" s="148">
        <f>440*12</f>
        <v>5280</v>
      </c>
      <c r="S47" s="155" t="s">
        <v>67</v>
      </c>
      <c r="T47" s="148">
        <f>380*12</f>
        <v>4560</v>
      </c>
      <c r="U47" s="155" t="s">
        <v>38</v>
      </c>
      <c r="V47" s="148">
        <f>460*12</f>
        <v>5520</v>
      </c>
      <c r="W47" s="148">
        <f>H47+R47</f>
        <v>118080</v>
      </c>
      <c r="X47" s="148">
        <f>H47+R47+T47</f>
        <v>122640</v>
      </c>
      <c r="Y47" s="148">
        <f>H47+R47+T47+V47</f>
        <v>128160</v>
      </c>
      <c r="Z47" s="75"/>
    </row>
    <row r="48" spans="2:26" ht="22.5" customHeight="1">
      <c r="B48" s="73"/>
      <c r="C48" s="87" t="s">
        <v>27</v>
      </c>
      <c r="D48" s="88"/>
      <c r="E48" s="75"/>
      <c r="F48" s="75"/>
      <c r="G48" s="76"/>
      <c r="H48" s="78"/>
      <c r="I48" s="77"/>
      <c r="J48" s="77"/>
      <c r="K48" s="77"/>
      <c r="L48" s="110"/>
      <c r="M48" s="78"/>
      <c r="N48" s="78"/>
      <c r="O48" s="80"/>
      <c r="P48" s="80"/>
      <c r="Q48" s="80"/>
      <c r="R48" s="111"/>
      <c r="S48" s="167"/>
      <c r="T48" s="111"/>
      <c r="U48" s="167"/>
      <c r="V48" s="111"/>
      <c r="W48" s="78" t="s">
        <v>19</v>
      </c>
      <c r="X48" s="78" t="s">
        <v>19</v>
      </c>
      <c r="Y48" s="78" t="s">
        <v>19</v>
      </c>
      <c r="Z48" s="75"/>
    </row>
    <row r="49" spans="2:26" ht="23.25" customHeight="1">
      <c r="B49" s="73">
        <v>21</v>
      </c>
      <c r="C49" s="74" t="s">
        <v>51</v>
      </c>
      <c r="D49" s="88"/>
      <c r="E49" s="75">
        <v>1</v>
      </c>
      <c r="F49" s="75">
        <v>1</v>
      </c>
      <c r="G49" s="76" t="s">
        <v>19</v>
      </c>
      <c r="H49" s="179">
        <v>108000</v>
      </c>
      <c r="I49" s="186">
        <v>1</v>
      </c>
      <c r="J49" s="186">
        <v>1</v>
      </c>
      <c r="K49" s="186">
        <v>1</v>
      </c>
      <c r="L49" s="110" t="s">
        <v>13</v>
      </c>
      <c r="M49" s="179" t="s">
        <v>13</v>
      </c>
      <c r="N49" s="179" t="s">
        <v>13</v>
      </c>
      <c r="O49" s="240" t="s">
        <v>34</v>
      </c>
      <c r="P49" s="241"/>
      <c r="Q49" s="241"/>
      <c r="R49" s="111" t="s">
        <v>13</v>
      </c>
      <c r="S49" s="167" t="s">
        <v>35</v>
      </c>
      <c r="T49" s="111" t="s">
        <v>13</v>
      </c>
      <c r="U49" s="167" t="s">
        <v>36</v>
      </c>
      <c r="V49" s="111" t="s">
        <v>13</v>
      </c>
      <c r="W49" s="179">
        <f>SUM(H49)</f>
        <v>108000</v>
      </c>
      <c r="X49" s="179">
        <f>SUM(H49)</f>
        <v>108000</v>
      </c>
      <c r="Y49" s="179">
        <f>SUM(H49)</f>
        <v>108000</v>
      </c>
      <c r="Z49" s="75" t="s">
        <v>19</v>
      </c>
    </row>
    <row r="50" spans="2:26" ht="20.25" customHeight="1">
      <c r="B50" s="73"/>
      <c r="C50" s="87" t="s">
        <v>30</v>
      </c>
      <c r="D50" s="88"/>
      <c r="E50" s="75"/>
      <c r="F50" s="75"/>
      <c r="G50" s="76"/>
      <c r="H50" s="78"/>
      <c r="I50" s="77"/>
      <c r="J50" s="77"/>
      <c r="K50" s="77"/>
      <c r="L50" s="110"/>
      <c r="M50" s="78"/>
      <c r="N50" s="78"/>
      <c r="O50" s="80"/>
      <c r="P50" s="80"/>
      <c r="Q50" s="80"/>
      <c r="R50" s="111"/>
      <c r="S50" s="167"/>
      <c r="T50" s="111"/>
      <c r="U50" s="167"/>
      <c r="V50" s="111"/>
      <c r="W50" s="78" t="s">
        <v>19</v>
      </c>
      <c r="X50" s="78" t="s">
        <v>19</v>
      </c>
      <c r="Y50" s="78" t="s">
        <v>19</v>
      </c>
      <c r="Z50" s="75"/>
    </row>
    <row r="51" spans="2:26" ht="22.5" customHeight="1">
      <c r="B51" s="73">
        <v>22</v>
      </c>
      <c r="C51" s="74" t="s">
        <v>126</v>
      </c>
      <c r="D51" s="75" t="s">
        <v>86</v>
      </c>
      <c r="E51" s="75">
        <v>1</v>
      </c>
      <c r="F51" s="75">
        <v>1</v>
      </c>
      <c r="G51" s="76">
        <f>25970*12+3500*12</f>
        <v>353640</v>
      </c>
      <c r="H51" s="78">
        <v>313440</v>
      </c>
      <c r="I51" s="77">
        <v>1</v>
      </c>
      <c r="J51" s="77">
        <v>1</v>
      </c>
      <c r="K51" s="77">
        <v>1</v>
      </c>
      <c r="L51" s="110" t="s">
        <v>13</v>
      </c>
      <c r="M51" s="78" t="s">
        <v>13</v>
      </c>
      <c r="N51" s="78" t="s">
        <v>13</v>
      </c>
      <c r="O51" s="80">
        <v>22620</v>
      </c>
      <c r="P51" s="80">
        <v>23550</v>
      </c>
      <c r="Q51" s="80">
        <f>P51-O51</f>
        <v>930</v>
      </c>
      <c r="R51" s="111">
        <f>Q51*12</f>
        <v>11160</v>
      </c>
      <c r="S51" s="167">
        <f>500+490*12</f>
        <v>6380</v>
      </c>
      <c r="T51" s="111">
        <v>11880</v>
      </c>
      <c r="U51" s="167">
        <f>1020*12</f>
        <v>12240</v>
      </c>
      <c r="V51" s="111">
        <f>SUM(U51)</f>
        <v>12240</v>
      </c>
      <c r="W51" s="78">
        <f>H51+R51</f>
        <v>324600</v>
      </c>
      <c r="X51" s="78">
        <f t="shared" si="2"/>
        <v>336480</v>
      </c>
      <c r="Y51" s="78">
        <f t="shared" si="3"/>
        <v>348720</v>
      </c>
      <c r="Z51" s="75"/>
    </row>
    <row r="52" spans="2:26" ht="22.5" customHeight="1">
      <c r="B52" s="73">
        <v>23</v>
      </c>
      <c r="C52" s="74" t="s">
        <v>81</v>
      </c>
      <c r="D52" s="121" t="s">
        <v>90</v>
      </c>
      <c r="E52" s="75">
        <v>1</v>
      </c>
      <c r="F52" s="75" t="s">
        <v>13</v>
      </c>
      <c r="G52" s="76">
        <f>59970+99930</f>
        <v>159900</v>
      </c>
      <c r="H52" s="78">
        <v>0</v>
      </c>
      <c r="I52" s="77">
        <v>1</v>
      </c>
      <c r="J52" s="77">
        <v>1</v>
      </c>
      <c r="K52" s="77">
        <v>1</v>
      </c>
      <c r="L52" s="110" t="s">
        <v>13</v>
      </c>
      <c r="M52" s="78" t="s">
        <v>13</v>
      </c>
      <c r="N52" s="78" t="s">
        <v>13</v>
      </c>
      <c r="O52" s="80">
        <v>5810</v>
      </c>
      <c r="P52" s="80">
        <v>27350</v>
      </c>
      <c r="Q52" s="80">
        <f>P52+O52</f>
        <v>33160</v>
      </c>
      <c r="R52" s="111">
        <f>Q52*12/2</f>
        <v>198960</v>
      </c>
      <c r="S52" s="167" t="s">
        <v>31</v>
      </c>
      <c r="T52" s="81">
        <f>2220+3210</f>
        <v>5430</v>
      </c>
      <c r="U52" s="160"/>
      <c r="V52" s="81">
        <f>SUM(T52)</f>
        <v>5430</v>
      </c>
      <c r="W52" s="78">
        <f t="shared" ref="W52:W53" si="13">H52+R52</f>
        <v>198960</v>
      </c>
      <c r="X52" s="78">
        <f t="shared" si="2"/>
        <v>204390</v>
      </c>
      <c r="Y52" s="78">
        <f t="shared" si="3"/>
        <v>209820</v>
      </c>
      <c r="Z52" s="75" t="s">
        <v>79</v>
      </c>
    </row>
    <row r="53" spans="2:26" ht="22.5" customHeight="1">
      <c r="B53" s="73">
        <v>24</v>
      </c>
      <c r="C53" s="74" t="s">
        <v>91</v>
      </c>
      <c r="D53" s="121" t="s">
        <v>90</v>
      </c>
      <c r="E53" s="75">
        <v>1</v>
      </c>
      <c r="F53" s="75" t="s">
        <v>13</v>
      </c>
      <c r="G53" s="76">
        <f>59970+99930</f>
        <v>159900</v>
      </c>
      <c r="H53" s="78">
        <v>0</v>
      </c>
      <c r="I53" s="77">
        <v>1</v>
      </c>
      <c r="J53" s="77">
        <v>1</v>
      </c>
      <c r="K53" s="77">
        <v>1</v>
      </c>
      <c r="L53" s="110" t="s">
        <v>13</v>
      </c>
      <c r="M53" s="78" t="s">
        <v>13</v>
      </c>
      <c r="N53" s="78" t="s">
        <v>13</v>
      </c>
      <c r="O53" s="80">
        <v>4870</v>
      </c>
      <c r="P53" s="80">
        <v>19480</v>
      </c>
      <c r="Q53" s="80">
        <f>P53+O53</f>
        <v>24350</v>
      </c>
      <c r="R53" s="111">
        <f>Q53*12/2</f>
        <v>146100</v>
      </c>
      <c r="S53" s="167" t="s">
        <v>32</v>
      </c>
      <c r="T53" s="81">
        <f>2220+3210</f>
        <v>5430</v>
      </c>
      <c r="U53" s="160"/>
      <c r="V53" s="81">
        <f>SUM(T53)</f>
        <v>5430</v>
      </c>
      <c r="W53" s="78">
        <f t="shared" si="13"/>
        <v>146100</v>
      </c>
      <c r="X53" s="78">
        <f t="shared" si="2"/>
        <v>151530</v>
      </c>
      <c r="Y53" s="78">
        <f t="shared" si="3"/>
        <v>156960</v>
      </c>
      <c r="Z53" s="75" t="s">
        <v>79</v>
      </c>
    </row>
    <row r="54" spans="2:26" ht="22.5" customHeight="1">
      <c r="B54" s="73"/>
      <c r="C54" s="87" t="s">
        <v>24</v>
      </c>
      <c r="D54" s="88"/>
      <c r="E54" s="75"/>
      <c r="F54" s="75"/>
      <c r="G54" s="76"/>
      <c r="H54" s="78"/>
      <c r="I54" s="77"/>
      <c r="J54" s="77"/>
      <c r="K54" s="77"/>
      <c r="L54" s="110"/>
      <c r="M54" s="78"/>
      <c r="N54" s="78"/>
      <c r="O54" s="80"/>
      <c r="P54" s="80"/>
      <c r="Q54" s="80"/>
      <c r="R54" s="111"/>
      <c r="S54" s="167"/>
      <c r="T54" s="111"/>
      <c r="U54" s="167"/>
      <c r="V54" s="111"/>
      <c r="W54" s="78" t="s">
        <v>19</v>
      </c>
      <c r="X54" s="78" t="s">
        <v>19</v>
      </c>
      <c r="Y54" s="78" t="s">
        <v>19</v>
      </c>
      <c r="Z54" s="75"/>
    </row>
    <row r="55" spans="2:26" ht="22.5" customHeight="1">
      <c r="B55" s="73"/>
      <c r="C55" s="87" t="s">
        <v>25</v>
      </c>
      <c r="D55" s="88"/>
      <c r="E55" s="75"/>
      <c r="F55" s="75"/>
      <c r="G55" s="76"/>
      <c r="H55" s="78"/>
      <c r="I55" s="77"/>
      <c r="J55" s="77"/>
      <c r="K55" s="77"/>
      <c r="L55" s="110"/>
      <c r="M55" s="78"/>
      <c r="N55" s="78"/>
      <c r="O55" s="80"/>
      <c r="P55" s="80"/>
      <c r="Q55" s="80"/>
      <c r="R55" s="111"/>
      <c r="S55" s="167"/>
      <c r="T55" s="111"/>
      <c r="U55" s="167"/>
      <c r="V55" s="111"/>
      <c r="W55" s="78" t="s">
        <v>19</v>
      </c>
      <c r="X55" s="78" t="s">
        <v>19</v>
      </c>
      <c r="Y55" s="78" t="s">
        <v>19</v>
      </c>
      <c r="Z55" s="75"/>
    </row>
    <row r="56" spans="2:26" ht="21" customHeight="1" thickBot="1">
      <c r="B56" s="95">
        <v>25</v>
      </c>
      <c r="C56" s="96" t="s">
        <v>77</v>
      </c>
      <c r="D56" s="97"/>
      <c r="E56" s="98">
        <v>1</v>
      </c>
      <c r="F56" s="98">
        <v>1</v>
      </c>
      <c r="G56" s="99">
        <f>9780*12</f>
        <v>117360</v>
      </c>
      <c r="H56" s="101">
        <f>SUM(G56)</f>
        <v>117360</v>
      </c>
      <c r="I56" s="100">
        <v>1</v>
      </c>
      <c r="J56" s="100">
        <v>1</v>
      </c>
      <c r="K56" s="100">
        <v>1</v>
      </c>
      <c r="L56" s="122" t="s">
        <v>13</v>
      </c>
      <c r="M56" s="101" t="s">
        <v>13</v>
      </c>
      <c r="N56" s="101" t="s">
        <v>13</v>
      </c>
      <c r="O56" s="246" t="s">
        <v>63</v>
      </c>
      <c r="P56" s="246"/>
      <c r="Q56" s="246"/>
      <c r="R56" s="123">
        <f>450*12</f>
        <v>5400</v>
      </c>
      <c r="S56" s="168" t="s">
        <v>64</v>
      </c>
      <c r="T56" s="123">
        <f>470*12</f>
        <v>5640</v>
      </c>
      <c r="U56" s="168" t="s">
        <v>38</v>
      </c>
      <c r="V56" s="123">
        <f>490*12</f>
        <v>5880</v>
      </c>
      <c r="W56" s="101">
        <f t="shared" ref="W56" si="14">H56+R56</f>
        <v>122760</v>
      </c>
      <c r="X56" s="101">
        <f t="shared" si="2"/>
        <v>128400</v>
      </c>
      <c r="Y56" s="101">
        <f t="shared" si="3"/>
        <v>134280</v>
      </c>
      <c r="Z56" s="98"/>
    </row>
    <row r="57" spans="2:26" ht="32.25" customHeight="1">
      <c r="B57" s="57"/>
      <c r="C57" s="60"/>
      <c r="D57" s="13"/>
      <c r="E57" s="12"/>
      <c r="F57" s="12"/>
      <c r="G57" s="14"/>
      <c r="H57" s="44"/>
      <c r="I57" s="2"/>
      <c r="J57" s="2"/>
      <c r="K57" s="2"/>
      <c r="L57" s="45"/>
      <c r="M57" s="44"/>
      <c r="N57" s="44"/>
      <c r="O57" s="32"/>
      <c r="P57" s="32"/>
      <c r="Q57" s="32"/>
      <c r="R57" s="46"/>
      <c r="S57" s="169"/>
      <c r="T57" s="46"/>
      <c r="U57" s="169"/>
      <c r="V57" s="46"/>
      <c r="W57" s="44"/>
      <c r="X57" s="44"/>
      <c r="Y57" s="44"/>
      <c r="Z57" s="12"/>
    </row>
    <row r="58" spans="2:26" ht="16.5" customHeight="1">
      <c r="B58" s="57"/>
      <c r="C58" s="60"/>
      <c r="D58" s="13"/>
      <c r="E58" s="12"/>
      <c r="F58" s="12"/>
      <c r="G58" s="14"/>
      <c r="H58" s="44"/>
      <c r="I58" s="2"/>
      <c r="J58" s="2"/>
      <c r="K58" s="2"/>
      <c r="L58" s="45"/>
      <c r="M58" s="44"/>
      <c r="N58" s="44"/>
      <c r="O58" s="32"/>
      <c r="P58" s="32"/>
      <c r="Q58" s="32"/>
      <c r="R58" s="46"/>
      <c r="S58" s="169"/>
      <c r="T58" s="46"/>
      <c r="U58" s="169"/>
      <c r="V58" s="46"/>
      <c r="W58" s="44"/>
      <c r="X58" s="44"/>
      <c r="Y58" s="44"/>
      <c r="Z58" s="12"/>
    </row>
    <row r="59" spans="2:26" s="18" customFormat="1" ht="18.75" customHeight="1" thickBot="1">
      <c r="B59" s="58"/>
      <c r="C59" s="61"/>
      <c r="D59" s="49"/>
      <c r="E59" s="48"/>
      <c r="F59" s="48"/>
      <c r="G59" s="50"/>
      <c r="H59" s="51"/>
      <c r="I59" s="49"/>
      <c r="J59" s="49"/>
      <c r="K59" s="49"/>
      <c r="L59" s="52"/>
      <c r="M59" s="52"/>
      <c r="N59" s="52"/>
      <c r="O59" s="33"/>
      <c r="P59" s="33"/>
      <c r="Q59" s="33"/>
      <c r="R59" s="53"/>
      <c r="S59" s="170"/>
      <c r="T59" s="53"/>
      <c r="U59" s="170"/>
      <c r="V59" s="53"/>
      <c r="W59" s="51"/>
      <c r="X59" s="54"/>
      <c r="Y59" s="54"/>
      <c r="Z59" s="55">
        <v>21</v>
      </c>
    </row>
    <row r="60" spans="2:26" s="35" customFormat="1" ht="24.75" customHeight="1">
      <c r="B60" s="190" t="s">
        <v>72</v>
      </c>
      <c r="C60" s="208" t="s">
        <v>0</v>
      </c>
      <c r="D60" s="190" t="s">
        <v>1</v>
      </c>
      <c r="E60" s="190" t="s">
        <v>2</v>
      </c>
      <c r="F60" s="211" t="s">
        <v>3</v>
      </c>
      <c r="G60" s="212"/>
      <c r="H60" s="213"/>
      <c r="I60" s="220" t="s">
        <v>4</v>
      </c>
      <c r="J60" s="221"/>
      <c r="K60" s="222"/>
      <c r="L60" s="229" t="s">
        <v>5</v>
      </c>
      <c r="M60" s="230"/>
      <c r="N60" s="231"/>
      <c r="O60" s="34"/>
      <c r="P60" s="34"/>
      <c r="Q60" s="34"/>
      <c r="R60" s="232" t="s">
        <v>7</v>
      </c>
      <c r="S60" s="233"/>
      <c r="T60" s="233"/>
      <c r="U60" s="233"/>
      <c r="V60" s="234"/>
      <c r="W60" s="211" t="s">
        <v>9</v>
      </c>
      <c r="X60" s="212"/>
      <c r="Y60" s="213"/>
      <c r="Z60" s="190" t="s">
        <v>10</v>
      </c>
    </row>
    <row r="61" spans="2:26" s="35" customFormat="1" ht="26.25" customHeight="1">
      <c r="B61" s="191"/>
      <c r="C61" s="209"/>
      <c r="D61" s="191"/>
      <c r="E61" s="191"/>
      <c r="F61" s="214"/>
      <c r="G61" s="215"/>
      <c r="H61" s="216"/>
      <c r="I61" s="223"/>
      <c r="J61" s="224"/>
      <c r="K61" s="225"/>
      <c r="L61" s="193" t="s">
        <v>6</v>
      </c>
      <c r="M61" s="194"/>
      <c r="N61" s="195"/>
      <c r="O61" s="36"/>
      <c r="P61" s="36"/>
      <c r="Q61" s="36"/>
      <c r="R61" s="196" t="s">
        <v>8</v>
      </c>
      <c r="S61" s="197"/>
      <c r="T61" s="198"/>
      <c r="U61" s="198"/>
      <c r="V61" s="199"/>
      <c r="W61" s="214"/>
      <c r="X61" s="215"/>
      <c r="Y61" s="216"/>
      <c r="Z61" s="191"/>
    </row>
    <row r="62" spans="2:26" s="35" customFormat="1" ht="30.75" customHeight="1" thickBot="1">
      <c r="B62" s="191"/>
      <c r="C62" s="209"/>
      <c r="D62" s="191"/>
      <c r="E62" s="191"/>
      <c r="F62" s="217"/>
      <c r="G62" s="218"/>
      <c r="H62" s="219"/>
      <c r="I62" s="226"/>
      <c r="J62" s="227"/>
      <c r="K62" s="228"/>
      <c r="L62" s="200"/>
      <c r="M62" s="201"/>
      <c r="N62" s="202"/>
      <c r="O62" s="37"/>
      <c r="P62" s="37"/>
      <c r="Q62" s="37"/>
      <c r="R62" s="203"/>
      <c r="S62" s="204"/>
      <c r="T62" s="204"/>
      <c r="U62" s="204"/>
      <c r="V62" s="205"/>
      <c r="W62" s="217"/>
      <c r="X62" s="218"/>
      <c r="Y62" s="219"/>
      <c r="Z62" s="191"/>
    </row>
    <row r="63" spans="2:26" s="35" customFormat="1" ht="25.5" customHeight="1">
      <c r="B63" s="191"/>
      <c r="C63" s="209"/>
      <c r="D63" s="191"/>
      <c r="E63" s="191"/>
      <c r="F63" s="38" t="s">
        <v>11</v>
      </c>
      <c r="G63" s="39"/>
      <c r="H63" s="190" t="s">
        <v>45</v>
      </c>
      <c r="I63" s="235">
        <v>2558</v>
      </c>
      <c r="J63" s="235">
        <v>2559</v>
      </c>
      <c r="K63" s="235">
        <v>2560</v>
      </c>
      <c r="L63" s="190">
        <v>2558</v>
      </c>
      <c r="M63" s="190">
        <v>2559</v>
      </c>
      <c r="N63" s="190">
        <v>2560</v>
      </c>
      <c r="O63" s="40" t="s">
        <v>22</v>
      </c>
      <c r="P63" s="40" t="s">
        <v>23</v>
      </c>
      <c r="Q63" s="40"/>
      <c r="R63" s="190">
        <v>2558</v>
      </c>
      <c r="S63" s="157"/>
      <c r="T63" s="206">
        <v>2559</v>
      </c>
      <c r="U63" s="157"/>
      <c r="V63" s="206">
        <v>2560</v>
      </c>
      <c r="W63" s="190">
        <v>2558</v>
      </c>
      <c r="X63" s="190">
        <v>2559</v>
      </c>
      <c r="Y63" s="190">
        <v>2560</v>
      </c>
      <c r="Z63" s="191"/>
    </row>
    <row r="64" spans="2:26" s="35" customFormat="1" ht="20.25" thickBot="1">
      <c r="B64" s="192"/>
      <c r="C64" s="210"/>
      <c r="D64" s="192"/>
      <c r="E64" s="192"/>
      <c r="F64" s="41" t="s">
        <v>12</v>
      </c>
      <c r="G64" s="42"/>
      <c r="H64" s="192"/>
      <c r="I64" s="236"/>
      <c r="J64" s="236"/>
      <c r="K64" s="236"/>
      <c r="L64" s="192"/>
      <c r="M64" s="192"/>
      <c r="N64" s="192"/>
      <c r="O64" s="43"/>
      <c r="P64" s="43"/>
      <c r="Q64" s="43"/>
      <c r="R64" s="192"/>
      <c r="S64" s="158"/>
      <c r="T64" s="207"/>
      <c r="U64" s="158"/>
      <c r="V64" s="207"/>
      <c r="W64" s="192"/>
      <c r="X64" s="192"/>
      <c r="Y64" s="192"/>
      <c r="Z64" s="192"/>
    </row>
    <row r="65" spans="2:26" ht="21" customHeight="1">
      <c r="B65" s="64">
        <v>26</v>
      </c>
      <c r="C65" s="65" t="s">
        <v>52</v>
      </c>
      <c r="D65" s="124"/>
      <c r="E65" s="125">
        <v>1</v>
      </c>
      <c r="F65" s="125">
        <v>1</v>
      </c>
      <c r="G65" s="126">
        <f>10910*12</f>
        <v>130920</v>
      </c>
      <c r="H65" s="127">
        <f>SUM(G65)</f>
        <v>130920</v>
      </c>
      <c r="I65" s="124">
        <v>1</v>
      </c>
      <c r="J65" s="124">
        <v>1</v>
      </c>
      <c r="K65" s="124">
        <v>1</v>
      </c>
      <c r="L65" s="128" t="s">
        <v>13</v>
      </c>
      <c r="M65" s="128" t="s">
        <v>13</v>
      </c>
      <c r="N65" s="128" t="s">
        <v>13</v>
      </c>
      <c r="O65" s="247" t="s">
        <v>63</v>
      </c>
      <c r="P65" s="248"/>
      <c r="Q65" s="249"/>
      <c r="R65" s="129">
        <f>450*12</f>
        <v>5400</v>
      </c>
      <c r="S65" s="171" t="s">
        <v>64</v>
      </c>
      <c r="T65" s="129">
        <f>470*12</f>
        <v>5640</v>
      </c>
      <c r="U65" s="171" t="s">
        <v>38</v>
      </c>
      <c r="V65" s="129">
        <f>490*12</f>
        <v>5880</v>
      </c>
      <c r="W65" s="127">
        <f t="shared" ref="W65" si="15">H65+R65</f>
        <v>136320</v>
      </c>
      <c r="X65" s="130">
        <f t="shared" ref="X65" si="16">H65+R65+T65</f>
        <v>141960</v>
      </c>
      <c r="Y65" s="130">
        <f t="shared" ref="Y65" si="17">H65+R65+T65+V65</f>
        <v>147840</v>
      </c>
      <c r="Z65" s="66"/>
    </row>
    <row r="66" spans="2:26" ht="21" customHeight="1">
      <c r="B66" s="73">
        <v>27</v>
      </c>
      <c r="C66" s="74" t="s">
        <v>47</v>
      </c>
      <c r="D66" s="131"/>
      <c r="E66" s="132">
        <v>1</v>
      </c>
      <c r="F66" s="132">
        <v>1</v>
      </c>
      <c r="G66" s="133"/>
      <c r="H66" s="134">
        <f>9400*12</f>
        <v>112800</v>
      </c>
      <c r="I66" s="131">
        <v>1</v>
      </c>
      <c r="J66" s="131">
        <v>1</v>
      </c>
      <c r="K66" s="131">
        <v>1</v>
      </c>
      <c r="L66" s="135" t="s">
        <v>13</v>
      </c>
      <c r="M66" s="135" t="s">
        <v>13</v>
      </c>
      <c r="N66" s="135" t="s">
        <v>13</v>
      </c>
      <c r="O66" s="243"/>
      <c r="P66" s="244"/>
      <c r="Q66" s="245"/>
      <c r="R66" s="148">
        <f>440*12</f>
        <v>5280</v>
      </c>
      <c r="S66" s="155" t="s">
        <v>67</v>
      </c>
      <c r="T66" s="148">
        <f>380*12</f>
        <v>4560</v>
      </c>
      <c r="U66" s="155" t="s">
        <v>38</v>
      </c>
      <c r="V66" s="148">
        <f>460*12</f>
        <v>5520</v>
      </c>
      <c r="W66" s="148">
        <f>H66+R66</f>
        <v>118080</v>
      </c>
      <c r="X66" s="148">
        <f>H66+R66+T66</f>
        <v>122640</v>
      </c>
      <c r="Y66" s="148">
        <f>H66+R66+T66+V66</f>
        <v>128160</v>
      </c>
      <c r="Z66" s="75"/>
    </row>
    <row r="67" spans="2:26" ht="22.5" customHeight="1">
      <c r="B67" s="73"/>
      <c r="C67" s="87" t="s">
        <v>95</v>
      </c>
      <c r="D67" s="131"/>
      <c r="E67" s="132"/>
      <c r="F67" s="132"/>
      <c r="G67" s="133"/>
      <c r="H67" s="134"/>
      <c r="I67" s="134"/>
      <c r="J67" s="134"/>
      <c r="K67" s="134"/>
      <c r="L67" s="135"/>
      <c r="M67" s="135"/>
      <c r="N67" s="135"/>
      <c r="O67" s="138"/>
      <c r="P67" s="138"/>
      <c r="Q67" s="138"/>
      <c r="R67" s="139"/>
      <c r="S67" s="172"/>
      <c r="T67" s="140"/>
      <c r="U67" s="177"/>
      <c r="V67" s="139"/>
      <c r="W67" s="136" t="s">
        <v>19</v>
      </c>
      <c r="X67" s="137" t="s">
        <v>19</v>
      </c>
      <c r="Y67" s="137" t="s">
        <v>19</v>
      </c>
      <c r="Z67" s="75"/>
    </row>
    <row r="68" spans="2:26" ht="22.5" customHeight="1">
      <c r="B68" s="73">
        <v>28</v>
      </c>
      <c r="C68" s="141" t="s">
        <v>128</v>
      </c>
      <c r="D68" s="132" t="s">
        <v>86</v>
      </c>
      <c r="E68" s="132">
        <v>1</v>
      </c>
      <c r="F68" s="132">
        <v>1</v>
      </c>
      <c r="G68" s="133">
        <f>26580*6+26980*6+3500*12</f>
        <v>363360</v>
      </c>
      <c r="H68" s="134">
        <f>SUM(G68)</f>
        <v>363360</v>
      </c>
      <c r="I68" s="131">
        <v>1</v>
      </c>
      <c r="J68" s="131">
        <v>1</v>
      </c>
      <c r="K68" s="131">
        <v>1</v>
      </c>
      <c r="L68" s="135" t="s">
        <v>13</v>
      </c>
      <c r="M68" s="135" t="s">
        <v>13</v>
      </c>
      <c r="N68" s="135" t="s">
        <v>13</v>
      </c>
      <c r="O68" s="138"/>
      <c r="P68" s="138"/>
      <c r="Q68" s="138"/>
      <c r="R68" s="139">
        <v>10740</v>
      </c>
      <c r="S68" s="172">
        <f>520+500*12</f>
        <v>6520</v>
      </c>
      <c r="T68" s="140">
        <v>12240</v>
      </c>
      <c r="U68" s="177">
        <f>1080*12</f>
        <v>12960</v>
      </c>
      <c r="V68" s="139">
        <f>SUM(U68)</f>
        <v>12960</v>
      </c>
      <c r="W68" s="136">
        <f>H68+R68</f>
        <v>374100</v>
      </c>
      <c r="X68" s="137">
        <f t="shared" ref="X68" si="18">H68+R68+T68</f>
        <v>386340</v>
      </c>
      <c r="Y68" s="137">
        <f t="shared" ref="Y68" si="19">H68+R68+T68+V68</f>
        <v>399300</v>
      </c>
      <c r="Z68" s="75" t="s">
        <v>19</v>
      </c>
    </row>
    <row r="69" spans="2:26" ht="21" customHeight="1">
      <c r="B69" s="73">
        <v>29</v>
      </c>
      <c r="C69" s="74" t="s">
        <v>78</v>
      </c>
      <c r="D69" s="132" t="s">
        <v>88</v>
      </c>
      <c r="E69" s="132">
        <v>1</v>
      </c>
      <c r="F69" s="132" t="s">
        <v>19</v>
      </c>
      <c r="G69" s="133">
        <f>7140+21420*6/2+9740+30020*6/2</f>
        <v>171200</v>
      </c>
      <c r="H69" s="184" t="s">
        <v>13</v>
      </c>
      <c r="I69" s="131">
        <v>1</v>
      </c>
      <c r="J69" s="131">
        <v>1</v>
      </c>
      <c r="K69" s="131">
        <v>1</v>
      </c>
      <c r="L69" s="135" t="s">
        <v>13</v>
      </c>
      <c r="M69" s="135" t="s">
        <v>13</v>
      </c>
      <c r="N69" s="135" t="s">
        <v>13</v>
      </c>
      <c r="O69" s="138">
        <v>5550</v>
      </c>
      <c r="P69" s="138">
        <v>6810</v>
      </c>
      <c r="Q69" s="138">
        <f>P69+O69</f>
        <v>12360</v>
      </c>
      <c r="R69" s="134">
        <f>SUM(Q69*12)</f>
        <v>148320</v>
      </c>
      <c r="S69" s="172" t="s">
        <v>113</v>
      </c>
      <c r="T69" s="140">
        <f>3060+3900</f>
        <v>6960</v>
      </c>
      <c r="U69" s="177">
        <f>26120-25190</f>
        <v>930</v>
      </c>
      <c r="V69" s="139">
        <f>SUM(T69)</f>
        <v>6960</v>
      </c>
      <c r="W69" s="134">
        <f>SUM(R69)</f>
        <v>148320</v>
      </c>
      <c r="X69" s="142">
        <f>R69+T69</f>
        <v>155280</v>
      </c>
      <c r="Y69" s="142">
        <f>R69+T69+V69</f>
        <v>162240</v>
      </c>
      <c r="Z69" s="75" t="s">
        <v>115</v>
      </c>
    </row>
    <row r="70" spans="2:26" ht="21" customHeight="1">
      <c r="B70" s="73">
        <v>30</v>
      </c>
      <c r="C70" s="74" t="s">
        <v>92</v>
      </c>
      <c r="D70" s="143" t="s">
        <v>90</v>
      </c>
      <c r="E70" s="132">
        <v>1</v>
      </c>
      <c r="F70" s="132" t="s">
        <v>19</v>
      </c>
      <c r="G70" s="76">
        <f>59970+99930</f>
        <v>159900</v>
      </c>
      <c r="H70" s="134">
        <v>0</v>
      </c>
      <c r="I70" s="131">
        <v>1</v>
      </c>
      <c r="J70" s="131">
        <v>1</v>
      </c>
      <c r="K70" s="131">
        <v>1</v>
      </c>
      <c r="L70" s="132" t="s">
        <v>13</v>
      </c>
      <c r="M70" s="132" t="s">
        <v>13</v>
      </c>
      <c r="N70" s="132" t="s">
        <v>13</v>
      </c>
      <c r="O70" s="138">
        <v>4870</v>
      </c>
      <c r="P70" s="138">
        <v>19480</v>
      </c>
      <c r="Q70" s="138">
        <f>P70+O70</f>
        <v>24350</v>
      </c>
      <c r="R70" s="139">
        <f>Q70*12/2</f>
        <v>146100</v>
      </c>
      <c r="S70" s="172" t="s">
        <v>32</v>
      </c>
      <c r="T70" s="81">
        <f>2220+3210</f>
        <v>5430</v>
      </c>
      <c r="U70" s="160"/>
      <c r="V70" s="81">
        <f>SUM(T70)</f>
        <v>5430</v>
      </c>
      <c r="W70" s="134">
        <f t="shared" si="1"/>
        <v>146100</v>
      </c>
      <c r="X70" s="142">
        <f>H70+R70+T70</f>
        <v>151530</v>
      </c>
      <c r="Y70" s="142">
        <f t="shared" si="3"/>
        <v>156960</v>
      </c>
      <c r="Z70" s="75" t="s">
        <v>79</v>
      </c>
    </row>
    <row r="71" spans="2:26" ht="21" customHeight="1">
      <c r="B71" s="73">
        <v>31</v>
      </c>
      <c r="C71" s="74" t="s">
        <v>93</v>
      </c>
      <c r="D71" s="143" t="s">
        <v>90</v>
      </c>
      <c r="E71" s="132">
        <v>1</v>
      </c>
      <c r="F71" s="132" t="s">
        <v>19</v>
      </c>
      <c r="G71" s="76">
        <f>59970+99930</f>
        <v>159900</v>
      </c>
      <c r="H71" s="134">
        <v>0</v>
      </c>
      <c r="I71" s="131">
        <v>1</v>
      </c>
      <c r="J71" s="131">
        <v>1</v>
      </c>
      <c r="K71" s="131">
        <v>1</v>
      </c>
      <c r="L71" s="132" t="s">
        <v>13</v>
      </c>
      <c r="M71" s="132" t="s">
        <v>13</v>
      </c>
      <c r="N71" s="132" t="s">
        <v>13</v>
      </c>
      <c r="O71" s="138">
        <v>4870</v>
      </c>
      <c r="P71" s="138">
        <v>19480</v>
      </c>
      <c r="Q71" s="138">
        <f>P71+O71</f>
        <v>24350</v>
      </c>
      <c r="R71" s="139">
        <f>Q71*12/2</f>
        <v>146100</v>
      </c>
      <c r="S71" s="172" t="s">
        <v>32</v>
      </c>
      <c r="T71" s="81">
        <f>2220+3210</f>
        <v>5430</v>
      </c>
      <c r="U71" s="160"/>
      <c r="V71" s="81">
        <f>SUM(T71)</f>
        <v>5430</v>
      </c>
      <c r="W71" s="134">
        <f t="shared" si="1"/>
        <v>146100</v>
      </c>
      <c r="X71" s="142">
        <f>H71+R71+T71</f>
        <v>151530</v>
      </c>
      <c r="Y71" s="142">
        <f t="shared" si="3"/>
        <v>156960</v>
      </c>
      <c r="Z71" s="75" t="s">
        <v>79</v>
      </c>
    </row>
    <row r="72" spans="2:26" ht="21" customHeight="1">
      <c r="B72" s="73"/>
      <c r="C72" s="87" t="s">
        <v>68</v>
      </c>
      <c r="D72" s="143"/>
      <c r="E72" s="132"/>
      <c r="F72" s="132"/>
      <c r="G72" s="133"/>
      <c r="H72" s="135"/>
      <c r="I72" s="131"/>
      <c r="J72" s="131"/>
      <c r="K72" s="131"/>
      <c r="L72" s="132"/>
      <c r="M72" s="132"/>
      <c r="N72" s="132"/>
      <c r="O72" s="138"/>
      <c r="P72" s="138"/>
      <c r="Q72" s="138"/>
      <c r="R72" s="139"/>
      <c r="S72" s="172"/>
      <c r="T72" s="140"/>
      <c r="U72" s="177"/>
      <c r="V72" s="139"/>
      <c r="W72" s="134"/>
      <c r="X72" s="142"/>
      <c r="Y72" s="142"/>
      <c r="Z72" s="75"/>
    </row>
    <row r="73" spans="2:26" ht="21" customHeight="1">
      <c r="B73" s="73">
        <v>32</v>
      </c>
      <c r="C73" s="93" t="s">
        <v>40</v>
      </c>
      <c r="D73" s="143" t="s">
        <v>69</v>
      </c>
      <c r="E73" s="132">
        <v>3</v>
      </c>
      <c r="F73" s="132">
        <v>3</v>
      </c>
      <c r="G73" s="132" t="s">
        <v>13</v>
      </c>
      <c r="H73" s="132" t="s">
        <v>117</v>
      </c>
      <c r="I73" s="131">
        <v>3</v>
      </c>
      <c r="J73" s="131">
        <v>3</v>
      </c>
      <c r="K73" s="131">
        <v>3</v>
      </c>
      <c r="L73" s="132" t="s">
        <v>13</v>
      </c>
      <c r="M73" s="132" t="s">
        <v>13</v>
      </c>
      <c r="N73" s="132" t="s">
        <v>13</v>
      </c>
      <c r="O73" s="132" t="s">
        <v>13</v>
      </c>
      <c r="P73" s="132" t="s">
        <v>13</v>
      </c>
      <c r="Q73" s="132" t="s">
        <v>13</v>
      </c>
      <c r="R73" s="135" t="s">
        <v>13</v>
      </c>
      <c r="S73" s="133" t="s">
        <v>13</v>
      </c>
      <c r="T73" s="132" t="s">
        <v>13</v>
      </c>
      <c r="U73" s="133" t="s">
        <v>13</v>
      </c>
      <c r="V73" s="132" t="s">
        <v>13</v>
      </c>
      <c r="W73" s="132" t="s">
        <v>13</v>
      </c>
      <c r="X73" s="132" t="s">
        <v>13</v>
      </c>
      <c r="Y73" s="132" t="s">
        <v>13</v>
      </c>
      <c r="Z73" s="181" t="s">
        <v>114</v>
      </c>
    </row>
    <row r="74" spans="2:26" ht="24.75" customHeight="1">
      <c r="B74" s="73"/>
      <c r="C74" s="87" t="s">
        <v>29</v>
      </c>
      <c r="D74" s="131"/>
      <c r="E74" s="132"/>
      <c r="F74" s="132"/>
      <c r="G74" s="133"/>
      <c r="H74" s="135"/>
      <c r="I74" s="134"/>
      <c r="J74" s="134"/>
      <c r="K74" s="134"/>
      <c r="L74" s="135"/>
      <c r="M74" s="135"/>
      <c r="N74" s="135"/>
      <c r="O74" s="138"/>
      <c r="P74" s="138"/>
      <c r="Q74" s="138"/>
      <c r="R74" s="139"/>
      <c r="S74" s="172"/>
      <c r="T74" s="140"/>
      <c r="U74" s="177"/>
      <c r="V74" s="139"/>
      <c r="W74" s="134"/>
      <c r="X74" s="142" t="s">
        <v>19</v>
      </c>
      <c r="Y74" s="142" t="s">
        <v>19</v>
      </c>
      <c r="Z74" s="149"/>
    </row>
    <row r="75" spans="2:26" ht="21" customHeight="1">
      <c r="B75" s="73"/>
      <c r="C75" s="87" t="s">
        <v>25</v>
      </c>
      <c r="D75" s="131"/>
      <c r="E75" s="132"/>
      <c r="F75" s="132"/>
      <c r="G75" s="133"/>
      <c r="H75" s="134"/>
      <c r="I75" s="134"/>
      <c r="J75" s="134"/>
      <c r="K75" s="134"/>
      <c r="L75" s="135"/>
      <c r="M75" s="135"/>
      <c r="N75" s="135"/>
      <c r="O75" s="138"/>
      <c r="P75" s="138"/>
      <c r="Q75" s="138"/>
      <c r="R75" s="139"/>
      <c r="S75" s="172"/>
      <c r="T75" s="140"/>
      <c r="U75" s="177"/>
      <c r="V75" s="139"/>
      <c r="W75" s="134"/>
      <c r="X75" s="142" t="s">
        <v>19</v>
      </c>
      <c r="Y75" s="142" t="s">
        <v>19</v>
      </c>
      <c r="Z75" s="75" t="s">
        <v>19</v>
      </c>
    </row>
    <row r="76" spans="2:26" ht="21" customHeight="1">
      <c r="B76" s="73">
        <v>33</v>
      </c>
      <c r="C76" s="74" t="s">
        <v>53</v>
      </c>
      <c r="D76" s="131"/>
      <c r="E76" s="132">
        <v>1</v>
      </c>
      <c r="F76" s="132">
        <v>1</v>
      </c>
      <c r="G76" s="132" t="s">
        <v>13</v>
      </c>
      <c r="H76" s="132" t="s">
        <v>118</v>
      </c>
      <c r="I76" s="131">
        <v>1</v>
      </c>
      <c r="J76" s="131">
        <v>1</v>
      </c>
      <c r="K76" s="131">
        <v>1</v>
      </c>
      <c r="L76" s="132" t="s">
        <v>13</v>
      </c>
      <c r="M76" s="132" t="s">
        <v>13</v>
      </c>
      <c r="N76" s="132" t="s">
        <v>13</v>
      </c>
      <c r="O76" s="132" t="s">
        <v>13</v>
      </c>
      <c r="P76" s="132" t="s">
        <v>13</v>
      </c>
      <c r="Q76" s="132" t="s">
        <v>13</v>
      </c>
      <c r="R76" s="135" t="s">
        <v>13</v>
      </c>
      <c r="S76" s="133" t="s">
        <v>13</v>
      </c>
      <c r="T76" s="132" t="s">
        <v>13</v>
      </c>
      <c r="U76" s="133" t="s">
        <v>13</v>
      </c>
      <c r="V76" s="132" t="s">
        <v>13</v>
      </c>
      <c r="W76" s="132" t="s">
        <v>13</v>
      </c>
      <c r="X76" s="132" t="s">
        <v>13</v>
      </c>
      <c r="Y76" s="132" t="s">
        <v>13</v>
      </c>
      <c r="Z76" s="181" t="s">
        <v>114</v>
      </c>
    </row>
    <row r="77" spans="2:26" ht="21" customHeight="1">
      <c r="B77" s="73">
        <v>34</v>
      </c>
      <c r="C77" s="74" t="s">
        <v>94</v>
      </c>
      <c r="D77" s="131"/>
      <c r="E77" s="132">
        <v>1</v>
      </c>
      <c r="F77" s="132">
        <v>1</v>
      </c>
      <c r="G77" s="132">
        <f>9400*12</f>
        <v>112800</v>
      </c>
      <c r="H77" s="135">
        <f>SUM(G77)</f>
        <v>112800</v>
      </c>
      <c r="I77" s="131"/>
      <c r="J77" s="131">
        <v>1</v>
      </c>
      <c r="K77" s="131">
        <v>1</v>
      </c>
      <c r="L77" s="132" t="s">
        <v>13</v>
      </c>
      <c r="M77" s="132" t="s">
        <v>13</v>
      </c>
      <c r="N77" s="132" t="s">
        <v>13</v>
      </c>
      <c r="O77" s="132"/>
      <c r="P77" s="132"/>
      <c r="Q77" s="132"/>
      <c r="R77" s="135">
        <f>460*12</f>
        <v>5520</v>
      </c>
      <c r="S77" s="133"/>
      <c r="T77" s="135">
        <f>480*12</f>
        <v>5760</v>
      </c>
      <c r="U77" s="133"/>
      <c r="V77" s="135">
        <f>500*12</f>
        <v>6000</v>
      </c>
      <c r="W77" s="180">
        <f>SUM(H77+R77)</f>
        <v>118320</v>
      </c>
      <c r="X77" s="180">
        <f>SUM(H77+R77+T77)</f>
        <v>124080</v>
      </c>
      <c r="Y77" s="180">
        <f>SUM(H77+R77+T77+V77)</f>
        <v>130080</v>
      </c>
      <c r="Z77" s="75"/>
    </row>
    <row r="78" spans="2:26" ht="21" customHeight="1">
      <c r="B78" s="73"/>
      <c r="C78" s="87" t="s">
        <v>26</v>
      </c>
      <c r="D78" s="131"/>
      <c r="E78" s="132"/>
      <c r="F78" s="132"/>
      <c r="G78" s="133"/>
      <c r="H78" s="132" t="s">
        <v>19</v>
      </c>
      <c r="I78" s="134"/>
      <c r="J78" s="134"/>
      <c r="K78" s="134"/>
      <c r="L78" s="135"/>
      <c r="M78" s="135"/>
      <c r="N78" s="135"/>
      <c r="O78" s="138"/>
      <c r="P78" s="138"/>
      <c r="Q78" s="138"/>
      <c r="R78" s="139"/>
      <c r="S78" s="172"/>
      <c r="T78" s="140"/>
      <c r="U78" s="177"/>
      <c r="V78" s="139"/>
      <c r="W78" s="134"/>
      <c r="X78" s="142" t="s">
        <v>19</v>
      </c>
      <c r="Y78" s="142" t="s">
        <v>19</v>
      </c>
      <c r="Z78" s="75"/>
    </row>
    <row r="79" spans="2:26" ht="21" customHeight="1">
      <c r="B79" s="73">
        <v>35</v>
      </c>
      <c r="C79" s="74" t="s">
        <v>54</v>
      </c>
      <c r="D79" s="131"/>
      <c r="E79" s="132">
        <v>1</v>
      </c>
      <c r="F79" s="132" t="s">
        <v>19</v>
      </c>
      <c r="G79" s="133"/>
      <c r="H79" s="132" t="s">
        <v>119</v>
      </c>
      <c r="I79" s="131">
        <v>1</v>
      </c>
      <c r="J79" s="131">
        <v>1</v>
      </c>
      <c r="K79" s="131">
        <v>1</v>
      </c>
      <c r="L79" s="144" t="s">
        <v>13</v>
      </c>
      <c r="M79" s="132" t="s">
        <v>13</v>
      </c>
      <c r="N79" s="132" t="s">
        <v>13</v>
      </c>
      <c r="O79" s="132" t="s">
        <v>13</v>
      </c>
      <c r="P79" s="132" t="s">
        <v>13</v>
      </c>
      <c r="Q79" s="132" t="s">
        <v>13</v>
      </c>
      <c r="R79" s="135" t="s">
        <v>13</v>
      </c>
      <c r="S79" s="133" t="s">
        <v>13</v>
      </c>
      <c r="T79" s="132" t="s">
        <v>13</v>
      </c>
      <c r="U79" s="133" t="s">
        <v>13</v>
      </c>
      <c r="V79" s="132" t="s">
        <v>13</v>
      </c>
      <c r="W79" s="132" t="s">
        <v>13</v>
      </c>
      <c r="X79" s="132" t="s">
        <v>13</v>
      </c>
      <c r="Y79" s="132" t="s">
        <v>13</v>
      </c>
      <c r="Z79" s="181" t="s">
        <v>114</v>
      </c>
    </row>
    <row r="80" spans="2:26" ht="21" customHeight="1">
      <c r="B80" s="73"/>
      <c r="C80" s="87" t="s">
        <v>27</v>
      </c>
      <c r="D80" s="131"/>
      <c r="E80" s="132"/>
      <c r="F80" s="132"/>
      <c r="G80" s="133"/>
      <c r="H80" s="135" t="s">
        <v>19</v>
      </c>
      <c r="I80" s="131" t="s">
        <v>19</v>
      </c>
      <c r="J80" s="131" t="s">
        <v>19</v>
      </c>
      <c r="K80" s="131" t="s">
        <v>19</v>
      </c>
      <c r="L80" s="135"/>
      <c r="M80" s="135"/>
      <c r="N80" s="135"/>
      <c r="O80" s="138"/>
      <c r="P80" s="138"/>
      <c r="Q80" s="138"/>
      <c r="R80" s="139"/>
      <c r="S80" s="172"/>
      <c r="T80" s="140"/>
      <c r="U80" s="177"/>
      <c r="V80" s="139"/>
      <c r="W80" s="134"/>
      <c r="X80" s="142" t="s">
        <v>19</v>
      </c>
      <c r="Y80" s="142" t="s">
        <v>19</v>
      </c>
      <c r="Z80" s="75"/>
    </row>
    <row r="81" spans="2:26" ht="21" customHeight="1">
      <c r="B81" s="73">
        <v>36</v>
      </c>
      <c r="C81" s="74" t="s">
        <v>54</v>
      </c>
      <c r="D81" s="131"/>
      <c r="E81" s="132">
        <v>1</v>
      </c>
      <c r="F81" s="132">
        <v>1</v>
      </c>
      <c r="G81" s="145"/>
      <c r="H81" s="135" t="s">
        <v>13</v>
      </c>
      <c r="I81" s="187">
        <v>1</v>
      </c>
      <c r="J81" s="187">
        <v>1</v>
      </c>
      <c r="K81" s="187">
        <v>1</v>
      </c>
      <c r="L81" s="144" t="s">
        <v>13</v>
      </c>
      <c r="M81" s="135" t="s">
        <v>13</v>
      </c>
      <c r="N81" s="135" t="s">
        <v>13</v>
      </c>
      <c r="O81" s="135" t="s">
        <v>13</v>
      </c>
      <c r="P81" s="135" t="s">
        <v>13</v>
      </c>
      <c r="Q81" s="135" t="s">
        <v>13</v>
      </c>
      <c r="R81" s="135" t="s">
        <v>13</v>
      </c>
      <c r="S81" s="154" t="s">
        <v>13</v>
      </c>
      <c r="T81" s="135" t="s">
        <v>13</v>
      </c>
      <c r="U81" s="154" t="s">
        <v>13</v>
      </c>
      <c r="V81" s="135" t="s">
        <v>13</v>
      </c>
      <c r="W81" s="135" t="s">
        <v>13</v>
      </c>
      <c r="X81" s="135" t="s">
        <v>13</v>
      </c>
      <c r="Y81" s="135" t="s">
        <v>13</v>
      </c>
      <c r="Z81" s="181" t="s">
        <v>114</v>
      </c>
    </row>
    <row r="82" spans="2:26" ht="21" customHeight="1" thickBot="1">
      <c r="B82" s="95">
        <v>37</v>
      </c>
      <c r="C82" s="96" t="s">
        <v>28</v>
      </c>
      <c r="D82" s="146"/>
      <c r="E82" s="147">
        <v>1</v>
      </c>
      <c r="F82" s="147">
        <v>1</v>
      </c>
      <c r="G82" s="76">
        <f>9000*12</f>
        <v>108000</v>
      </c>
      <c r="H82" s="179">
        <f>SUM(G82)</f>
        <v>108000</v>
      </c>
      <c r="I82" s="186">
        <v>1</v>
      </c>
      <c r="J82" s="186">
        <v>1</v>
      </c>
      <c r="K82" s="186">
        <v>1</v>
      </c>
      <c r="L82" s="110" t="s">
        <v>13</v>
      </c>
      <c r="M82" s="179" t="s">
        <v>13</v>
      </c>
      <c r="N82" s="179" t="s">
        <v>13</v>
      </c>
      <c r="O82" s="240" t="s">
        <v>34</v>
      </c>
      <c r="P82" s="241"/>
      <c r="Q82" s="241"/>
      <c r="R82" s="111" t="s">
        <v>13</v>
      </c>
      <c r="S82" s="167" t="s">
        <v>35</v>
      </c>
      <c r="T82" s="111" t="s">
        <v>13</v>
      </c>
      <c r="U82" s="167" t="s">
        <v>36</v>
      </c>
      <c r="V82" s="111" t="s">
        <v>13</v>
      </c>
      <c r="W82" s="179">
        <f>SUM(H82)</f>
        <v>108000</v>
      </c>
      <c r="X82" s="179">
        <f>SUM(H82)</f>
        <v>108000</v>
      </c>
      <c r="Y82" s="179">
        <f>SUM(H82)</f>
        <v>108000</v>
      </c>
      <c r="Z82" s="147" t="s">
        <v>79</v>
      </c>
    </row>
    <row r="83" spans="2:26" ht="25.5" customHeight="1" thickBot="1">
      <c r="B83" s="20" t="s">
        <v>41</v>
      </c>
      <c r="C83" s="62" t="s">
        <v>14</v>
      </c>
      <c r="D83" s="21"/>
      <c r="E83" s="22">
        <f>SUM(E8:E82)</f>
        <v>39</v>
      </c>
      <c r="F83" s="22">
        <f>SUM(F8:F81)</f>
        <v>28</v>
      </c>
      <c r="G83" s="22">
        <f t="shared" ref="G83" si="20">SUM(G8:G81)</f>
        <v>5718260</v>
      </c>
      <c r="H83" s="23">
        <f>SUM(H9:H82)</f>
        <v>4498440</v>
      </c>
      <c r="I83" s="188">
        <v>38</v>
      </c>
      <c r="J83" s="188">
        <v>38</v>
      </c>
      <c r="K83" s="188">
        <v>38</v>
      </c>
      <c r="L83" s="22" t="s">
        <v>19</v>
      </c>
      <c r="M83" s="22" t="s">
        <v>19</v>
      </c>
      <c r="N83" s="23" t="s">
        <v>19</v>
      </c>
      <c r="O83" s="23">
        <f t="shared" ref="O83:U83" si="21">SUM(O8:O81)</f>
        <v>206600</v>
      </c>
      <c r="P83" s="23">
        <f t="shared" si="21"/>
        <v>353992.4</v>
      </c>
      <c r="Q83" s="23">
        <f t="shared" si="21"/>
        <v>258390</v>
      </c>
      <c r="R83" s="189">
        <f>SUM(R8:R82)</f>
        <v>1746076</v>
      </c>
      <c r="S83" s="173">
        <f t="shared" si="21"/>
        <v>12900</v>
      </c>
      <c r="T83" s="150">
        <f>SUM(T8:T82)</f>
        <v>229158</v>
      </c>
      <c r="U83" s="173">
        <f t="shared" si="21"/>
        <v>26130</v>
      </c>
      <c r="V83" s="150">
        <f>SUM(V8:V82)</f>
        <v>236000</v>
      </c>
      <c r="W83" s="150">
        <f>SUM(W8:W82)</f>
        <v>6761716</v>
      </c>
      <c r="X83" s="150">
        <f>SUM(X8:X82)</f>
        <v>6985758</v>
      </c>
      <c r="Y83" s="150">
        <f>SUM(Y8:Y82)</f>
        <v>7216640</v>
      </c>
      <c r="Z83" s="22"/>
    </row>
    <row r="84" spans="2:26" ht="27.75" customHeight="1" thickBot="1">
      <c r="B84" s="20" t="s">
        <v>42</v>
      </c>
      <c r="C84" s="63" t="s">
        <v>15</v>
      </c>
      <c r="D84" s="24"/>
      <c r="E84" s="10"/>
      <c r="F84" s="24"/>
      <c r="G84" s="25"/>
      <c r="H84" s="11"/>
      <c r="I84" s="11"/>
      <c r="J84" s="11"/>
      <c r="K84" s="11"/>
      <c r="L84" s="24"/>
      <c r="M84" s="24"/>
      <c r="N84" s="24"/>
      <c r="O84" s="25"/>
      <c r="P84" s="25"/>
      <c r="Q84" s="25"/>
      <c r="R84" s="151" t="s">
        <v>19</v>
      </c>
      <c r="S84" s="174"/>
      <c r="T84" s="152"/>
      <c r="U84" s="174"/>
      <c r="V84" s="152"/>
      <c r="W84" s="153">
        <f>W83*20%</f>
        <v>1352343.2000000002</v>
      </c>
      <c r="X84" s="153">
        <f>X83*20%</f>
        <v>1397151.6</v>
      </c>
      <c r="Y84" s="153">
        <f>Y83*20%</f>
        <v>1443328</v>
      </c>
      <c r="Z84" s="10"/>
    </row>
    <row r="85" spans="2:26" ht="25.5" customHeight="1" thickBot="1">
      <c r="B85" s="20" t="s">
        <v>43</v>
      </c>
      <c r="C85" s="63" t="s">
        <v>16</v>
      </c>
      <c r="D85" s="24"/>
      <c r="E85" s="10"/>
      <c r="F85" s="24"/>
      <c r="G85" s="25"/>
      <c r="H85" s="11"/>
      <c r="I85" s="11"/>
      <c r="J85" s="11"/>
      <c r="K85" s="11"/>
      <c r="L85" s="24"/>
      <c r="M85" s="24"/>
      <c r="N85" s="24"/>
      <c r="O85" s="25"/>
      <c r="P85" s="25"/>
      <c r="Q85" s="25"/>
      <c r="R85" s="151"/>
      <c r="S85" s="174"/>
      <c r="T85" s="152"/>
      <c r="U85" s="174"/>
      <c r="V85" s="152"/>
      <c r="W85" s="153">
        <f>SUM(W83:W84)</f>
        <v>8114059.2000000002</v>
      </c>
      <c r="X85" s="153">
        <f>SUM(X83:X84)</f>
        <v>8382909.5999999996</v>
      </c>
      <c r="Y85" s="153">
        <f t="shared" ref="Y85" si="22">SUM(Y83:Y84)</f>
        <v>8659968</v>
      </c>
      <c r="Z85" s="10"/>
    </row>
    <row r="86" spans="2:26" ht="28.5" customHeight="1" thickBot="1">
      <c r="B86" s="20" t="s">
        <v>44</v>
      </c>
      <c r="C86" s="63" t="s">
        <v>17</v>
      </c>
      <c r="D86" s="24"/>
      <c r="E86" s="10"/>
      <c r="F86" s="24"/>
      <c r="G86" s="25"/>
      <c r="H86" s="11"/>
      <c r="I86" s="11"/>
      <c r="J86" s="11"/>
      <c r="K86" s="11"/>
      <c r="L86" s="24"/>
      <c r="M86" s="24"/>
      <c r="N86" s="24"/>
      <c r="O86" s="25"/>
      <c r="P86" s="25"/>
      <c r="Q86" s="25"/>
      <c r="R86" s="26"/>
      <c r="S86" s="175"/>
      <c r="T86" s="27"/>
      <c r="U86" s="175"/>
      <c r="V86" s="27"/>
      <c r="W86" s="28">
        <f>W85/L87*100</f>
        <v>39.512545165908627</v>
      </c>
      <c r="X86" s="28">
        <f>SUM(X85/L88*100)</f>
        <v>38.877856913288412</v>
      </c>
      <c r="Y86" s="28">
        <f>Y85/L89*100</f>
        <v>38.250271523824232</v>
      </c>
      <c r="Z86" s="10"/>
    </row>
    <row r="87" spans="2:26">
      <c r="C87" s="237" t="s">
        <v>120</v>
      </c>
      <c r="D87" s="237"/>
      <c r="E87" s="237"/>
      <c r="F87" s="237"/>
      <c r="G87" s="237"/>
      <c r="H87" s="237"/>
      <c r="I87" s="237"/>
      <c r="L87" s="238">
        <v>20535400</v>
      </c>
      <c r="M87" s="238"/>
      <c r="N87" s="238"/>
      <c r="R87" s="7" t="s">
        <v>56</v>
      </c>
      <c r="W87" s="4" t="s">
        <v>19</v>
      </c>
    </row>
    <row r="88" spans="2:26">
      <c r="C88" s="237" t="s">
        <v>121</v>
      </c>
      <c r="D88" s="237"/>
      <c r="E88" s="237"/>
      <c r="F88" s="237"/>
      <c r="G88" s="237"/>
      <c r="H88" s="237"/>
      <c r="I88" s="237"/>
      <c r="L88" s="238">
        <f>L87*5%+L87</f>
        <v>21562170</v>
      </c>
      <c r="M88" s="238"/>
      <c r="N88" s="238"/>
      <c r="R88" s="7" t="s">
        <v>56</v>
      </c>
      <c r="W88" s="4" t="s">
        <v>19</v>
      </c>
    </row>
    <row r="89" spans="2:26">
      <c r="C89" s="237" t="s">
        <v>122</v>
      </c>
      <c r="D89" s="237"/>
      <c r="E89" s="237"/>
      <c r="F89" s="237"/>
      <c r="G89" s="237"/>
      <c r="H89" s="237"/>
      <c r="I89" s="237"/>
      <c r="L89" s="238">
        <f>L88*5%+L88</f>
        <v>22640278.5</v>
      </c>
      <c r="M89" s="238"/>
      <c r="N89" s="238"/>
      <c r="R89" s="7" t="s">
        <v>56</v>
      </c>
      <c r="T89" s="29">
        <f>L87*5%</f>
        <v>1026770</v>
      </c>
      <c r="U89" s="178"/>
      <c r="V89" s="29">
        <f>+L87+T89</f>
        <v>21562170</v>
      </c>
    </row>
    <row r="90" spans="2:26" ht="12.75" customHeight="1">
      <c r="C90" s="237"/>
      <c r="D90" s="237"/>
      <c r="E90" s="237"/>
      <c r="F90" s="237"/>
      <c r="G90" s="237"/>
      <c r="H90" s="237"/>
      <c r="I90" s="237"/>
      <c r="L90" s="6"/>
      <c r="M90" s="6"/>
      <c r="N90" s="6"/>
      <c r="T90" s="30">
        <f>L88*5%</f>
        <v>1078108.5</v>
      </c>
      <c r="U90" s="178"/>
      <c r="V90" s="30">
        <f>L88+T90</f>
        <v>22640278.5</v>
      </c>
    </row>
    <row r="91" spans="2:26">
      <c r="C91" s="237"/>
      <c r="D91" s="237"/>
      <c r="E91" s="237"/>
      <c r="F91" s="237"/>
      <c r="G91" s="237"/>
      <c r="H91" s="237"/>
      <c r="I91" s="237"/>
      <c r="L91" s="6"/>
      <c r="M91" s="6"/>
      <c r="N91" s="6"/>
    </row>
    <row r="92" spans="2:26">
      <c r="C92" s="237"/>
      <c r="D92" s="237"/>
      <c r="E92" s="237"/>
      <c r="F92" s="237"/>
      <c r="G92" s="237"/>
      <c r="H92" s="237"/>
      <c r="I92" s="237"/>
      <c r="L92" s="6"/>
      <c r="M92" s="6"/>
      <c r="N92" s="6"/>
    </row>
    <row r="93" spans="2:26">
      <c r="C93" s="237" t="s">
        <v>19</v>
      </c>
      <c r="D93" s="237"/>
      <c r="E93" s="237"/>
      <c r="F93" s="237"/>
      <c r="G93" s="237"/>
      <c r="H93" s="237"/>
      <c r="I93" s="237"/>
      <c r="L93" s="6"/>
      <c r="M93" s="6"/>
      <c r="N93" s="6"/>
    </row>
    <row r="94" spans="2:26">
      <c r="C94" s="59" t="s">
        <v>19</v>
      </c>
    </row>
    <row r="95" spans="2:26">
      <c r="C95" s="59" t="s">
        <v>19</v>
      </c>
    </row>
    <row r="96" spans="2:26">
      <c r="C96" s="59" t="s">
        <v>19</v>
      </c>
    </row>
  </sheetData>
  <mergeCells count="104">
    <mergeCell ref="O82:Q82"/>
    <mergeCell ref="H6:H7"/>
    <mergeCell ref="I6:I7"/>
    <mergeCell ref="J6:J7"/>
    <mergeCell ref="K6:K7"/>
    <mergeCell ref="B2:Z2"/>
    <mergeCell ref="O66:Q66"/>
    <mergeCell ref="O56:Q56"/>
    <mergeCell ref="O49:Q49"/>
    <mergeCell ref="O20:Q20"/>
    <mergeCell ref="O21:Q21"/>
    <mergeCell ref="O23:Q23"/>
    <mergeCell ref="O65:Q65"/>
    <mergeCell ref="I3:K5"/>
    <mergeCell ref="O47:Q47"/>
    <mergeCell ref="B3:B7"/>
    <mergeCell ref="C3:C7"/>
    <mergeCell ref="D3:D7"/>
    <mergeCell ref="E3:E7"/>
    <mergeCell ref="F3:H5"/>
    <mergeCell ref="M6:M7"/>
    <mergeCell ref="L3:N3"/>
    <mergeCell ref="L4:N4"/>
    <mergeCell ref="L5:N5"/>
    <mergeCell ref="R3:V3"/>
    <mergeCell ref="R4:V4"/>
    <mergeCell ref="R5:V5"/>
    <mergeCell ref="L6:L7"/>
    <mergeCell ref="T6:T7"/>
    <mergeCell ref="V6:V7"/>
    <mergeCell ref="N6:N7"/>
    <mergeCell ref="X6:X7"/>
    <mergeCell ref="Y6:Y7"/>
    <mergeCell ref="W3:Y5"/>
    <mergeCell ref="Z3:Z7"/>
    <mergeCell ref="W6:W7"/>
    <mergeCell ref="O18:Q18"/>
    <mergeCell ref="O19:Q19"/>
    <mergeCell ref="O37:Q37"/>
    <mergeCell ref="R6:R7"/>
    <mergeCell ref="T34:T35"/>
    <mergeCell ref="V34:V35"/>
    <mergeCell ref="C92:I92"/>
    <mergeCell ref="I31:K33"/>
    <mergeCell ref="L31:N31"/>
    <mergeCell ref="R31:V31"/>
    <mergeCell ref="W31:Y33"/>
    <mergeCell ref="Z31:Z35"/>
    <mergeCell ref="L32:N32"/>
    <mergeCell ref="R32:V32"/>
    <mergeCell ref="L33:N33"/>
    <mergeCell ref="R33:V33"/>
    <mergeCell ref="I34:I35"/>
    <mergeCell ref="J34:J35"/>
    <mergeCell ref="K34:K35"/>
    <mergeCell ref="L34:L35"/>
    <mergeCell ref="M34:M35"/>
    <mergeCell ref="N34:N35"/>
    <mergeCell ref="C93:I93"/>
    <mergeCell ref="L87:N87"/>
    <mergeCell ref="L88:N88"/>
    <mergeCell ref="L89:N89"/>
    <mergeCell ref="C87:I87"/>
    <mergeCell ref="C88:I88"/>
    <mergeCell ref="C89:I89"/>
    <mergeCell ref="C90:I90"/>
    <mergeCell ref="C91:I91"/>
    <mergeCell ref="R34:R35"/>
    <mergeCell ref="W34:W35"/>
    <mergeCell ref="X34:X35"/>
    <mergeCell ref="Y34:Y35"/>
    <mergeCell ref="B60:B64"/>
    <mergeCell ref="C60:C64"/>
    <mergeCell ref="D60:D64"/>
    <mergeCell ref="E60:E64"/>
    <mergeCell ref="F60:H62"/>
    <mergeCell ref="I60:K62"/>
    <mergeCell ref="L60:N60"/>
    <mergeCell ref="R60:V60"/>
    <mergeCell ref="W60:Y62"/>
    <mergeCell ref="H63:H64"/>
    <mergeCell ref="I63:I64"/>
    <mergeCell ref="J63:J64"/>
    <mergeCell ref="K63:K64"/>
    <mergeCell ref="B31:B35"/>
    <mergeCell ref="C31:C35"/>
    <mergeCell ref="D31:D35"/>
    <mergeCell ref="E31:E35"/>
    <mergeCell ref="F31:H33"/>
    <mergeCell ref="H34:H35"/>
    <mergeCell ref="Z60:Z64"/>
    <mergeCell ref="L61:N61"/>
    <mergeCell ref="R61:V61"/>
    <mergeCell ref="L62:N62"/>
    <mergeCell ref="R62:V62"/>
    <mergeCell ref="L63:L64"/>
    <mergeCell ref="M63:M64"/>
    <mergeCell ref="N63:N64"/>
    <mergeCell ref="R63:R64"/>
    <mergeCell ref="T63:T64"/>
    <mergeCell ref="V63:V64"/>
    <mergeCell ref="W63:W64"/>
    <mergeCell ref="X63:X64"/>
    <mergeCell ref="Y63:Y64"/>
  </mergeCells>
  <pageMargins left="0.19685039370078741" right="0.19685039370078741" top="0.31" bottom="0.19685039370078741" header="0.11" footer="0.15748031496062992"/>
  <pageSetup paperSize="9" scale="8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ตารางคำนวณ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2016-03-07T04:56:43Z</cp:lastPrinted>
  <dcterms:created xsi:type="dcterms:W3CDTF">2014-08-21T06:57:01Z</dcterms:created>
  <dcterms:modified xsi:type="dcterms:W3CDTF">2016-04-01T06:44:40Z</dcterms:modified>
</cp:coreProperties>
</file>